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956" windowHeight="8160" tabRatio="951" activeTab="0"/>
  </bookViews>
  <sheets>
    <sheet name="Selvbudgettering" sheetId="1" r:id="rId1"/>
    <sheet name="Bilag 1 " sheetId="2" r:id="rId2"/>
    <sheet name="Bilag 2 " sheetId="3" r:id="rId3"/>
    <sheet name="Bilag 3" sheetId="4" r:id="rId4"/>
    <sheet name="Makro mv." sheetId="5" r:id="rId5"/>
    <sheet name="Ark2" sheetId="6" r:id="rId6"/>
  </sheets>
  <definedNames>
    <definedName name="alleamter">#REF!</definedName>
    <definedName name="anr">#REF!</definedName>
    <definedName name="apnropslag">'Makro mv.'!#REF!</definedName>
    <definedName name="Bilagtab1">'Bilag 1 '!$A$16:$AZ$115</definedName>
    <definedName name="Bilagtab2">'Bilag 2 '!$A$16:$N$115</definedName>
    <definedName name="bilagtab2x">'Bilag 2 '!$A$16:$N$115</definedName>
    <definedName name="knr">'Selvbudgettering'!$F$3</definedName>
    <definedName name="komnr" localSheetId="0">'Selvbudgettering'!$F$3</definedName>
    <definedName name="OK_A">'Makro mv.'!#REF!</definedName>
    <definedName name="OK_P">'Makro mv.'!$B$8</definedName>
    <definedName name="ok_pdata">'Makro mv.'!$B$13</definedName>
    <definedName name="ok_ph">'Makro mv.'!#REF!</definedName>
    <definedName name="ok_pp">'Makro mv.'!$B$19</definedName>
    <definedName name="ok_pph">'Makro mv.'!#REF!</definedName>
    <definedName name="ok_aa">'Makro mv.'!#REF!</definedName>
    <definedName name="printallekommuner">#REF!</definedName>
    <definedName name="_xlnm.Print_Area" localSheetId="0">'Selvbudgettering'!$B$1:$H$286</definedName>
    <definedName name="aar">'Makro mv.'!$B$10</definedName>
  </definedNames>
  <calcPr fullCalcOnLoad="1"/>
</workbook>
</file>

<file path=xl/sharedStrings.xml><?xml version="1.0" encoding="utf-8"?>
<sst xmlns="http://schemas.openxmlformats.org/spreadsheetml/2006/main" count="816" uniqueCount="427">
  <si>
    <t xml:space="preserve"> </t>
  </si>
  <si>
    <t>Indtast eget kommune nummer her :</t>
  </si>
  <si>
    <t>Kommune:</t>
  </si>
  <si>
    <t>Egen</t>
  </si>
  <si>
    <t>beregning</t>
  </si>
  <si>
    <t>Stats-</t>
  </si>
  <si>
    <t>Forskel</t>
  </si>
  <si>
    <t>Beløb i 1.000 kr. (+ = tilskud/ indtægt)</t>
  </si>
  <si>
    <t>garanti</t>
  </si>
  <si>
    <t>(1)-(2)</t>
  </si>
  <si>
    <t>(1)</t>
  </si>
  <si>
    <t>(2)</t>
  </si>
  <si>
    <t>(3)</t>
  </si>
  <si>
    <t xml:space="preserve">  Beløb i 1.000 kr.</t>
  </si>
  <si>
    <t>knr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</si>
  <si>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</si>
  <si>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</si>
  <si>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</si>
  <si>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</si>
  <si>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</si>
  <si>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</si>
  <si>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</si>
  <si>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</si>
  <si>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</si>
  <si>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Rødovre</t>
  </si>
  <si>
    <t>Ishøj</t>
  </si>
  <si>
    <t>Tårnby</t>
  </si>
  <si>
    <t>Vallensbæk</t>
  </si>
  <si>
    <t>Allerød</t>
  </si>
  <si>
    <t>Frederikssund</t>
  </si>
  <si>
    <t>Helsingør</t>
  </si>
  <si>
    <t>Hillerød</t>
  </si>
  <si>
    <t>Hørsholm</t>
  </si>
  <si>
    <t>Greve</t>
  </si>
  <si>
    <t>Køge</t>
  </si>
  <si>
    <t>Lejre</t>
  </si>
  <si>
    <t>Roskilde</t>
  </si>
  <si>
    <t>Solrød</t>
  </si>
  <si>
    <t>Holbæk</t>
  </si>
  <si>
    <t>Kalundborg</t>
  </si>
  <si>
    <t>Ringsted</t>
  </si>
  <si>
    <t>Slagelse</t>
  </si>
  <si>
    <t>Sorø</t>
  </si>
  <si>
    <t>Næstved</t>
  </si>
  <si>
    <t>Stevns</t>
  </si>
  <si>
    <t>Vordingborg</t>
  </si>
  <si>
    <t>Assens</t>
  </si>
  <si>
    <t>Kerteminde</t>
  </si>
  <si>
    <t>Middelfart</t>
  </si>
  <si>
    <t>Nyborg</t>
  </si>
  <si>
    <t>Odense</t>
  </si>
  <si>
    <t>Svendborg</t>
  </si>
  <si>
    <t>Haderslev</t>
  </si>
  <si>
    <t>Sønderborg</t>
  </si>
  <si>
    <t>Tønder</t>
  </si>
  <si>
    <t>Billund</t>
  </si>
  <si>
    <t>Esbjerg</t>
  </si>
  <si>
    <t>Fanø</t>
  </si>
  <si>
    <t>Varde</t>
  </si>
  <si>
    <t>Vejen</t>
  </si>
  <si>
    <t>Fredericia</t>
  </si>
  <si>
    <t>Hedensted</t>
  </si>
  <si>
    <t>Horsens</t>
  </si>
  <si>
    <t>Kolding</t>
  </si>
  <si>
    <t>Vejle</t>
  </si>
  <si>
    <t>Herning</t>
  </si>
  <si>
    <t>Holstebro</t>
  </si>
  <si>
    <t>Lemvig</t>
  </si>
  <si>
    <t>Struer</t>
  </si>
  <si>
    <t>Odder</t>
  </si>
  <si>
    <t>Randers</t>
  </si>
  <si>
    <t>Samsø</t>
  </si>
  <si>
    <t>Silkeborg</t>
  </si>
  <si>
    <t>Skanderborg</t>
  </si>
  <si>
    <t>Århus</t>
  </si>
  <si>
    <t>Morsø</t>
  </si>
  <si>
    <t>Skive</t>
  </si>
  <si>
    <t>Thisted</t>
  </si>
  <si>
    <t>Viborg</t>
  </si>
  <si>
    <t>Frederikshavn</t>
  </si>
  <si>
    <t>Hjørring</t>
  </si>
  <si>
    <t>Læsø</t>
  </si>
  <si>
    <t>Bilagstabel til validering af kommunenummer og data</t>
  </si>
  <si>
    <t xml:space="preserve">Gyldigt </t>
  </si>
  <si>
    <t>Kommune navn</t>
  </si>
  <si>
    <t>komnr</t>
  </si>
  <si>
    <t>(ok=1)</t>
  </si>
  <si>
    <t>Bilagstabel 1</t>
  </si>
  <si>
    <t>Bilagstabel 2</t>
  </si>
  <si>
    <t>OK bilag 1 og 2</t>
  </si>
  <si>
    <t>OK som Primkommune</t>
  </si>
  <si>
    <t>Tilskudsår:/ AAR</t>
  </si>
  <si>
    <t>kom</t>
  </si>
  <si>
    <t>Kommunen/amtes  data er udfyldt</t>
  </si>
  <si>
    <t>Kommunens data er udfyldt og komnr ok</t>
  </si>
  <si>
    <t>Tilskud til vanskeligt stillede kommuner</t>
  </si>
  <si>
    <t>Selvbudgetterede beløb i alt</t>
  </si>
  <si>
    <t>kommunenavn</t>
  </si>
  <si>
    <t>København</t>
  </si>
  <si>
    <t>Frederiksberg</t>
  </si>
  <si>
    <t>Høje-Taastrup</t>
  </si>
  <si>
    <t>Lyngby-Taarbæk</t>
  </si>
  <si>
    <t>Furesø</t>
  </si>
  <si>
    <t>Fredensborg</t>
  </si>
  <si>
    <t>Rudersdal</t>
  </si>
  <si>
    <t>Egedal</t>
  </si>
  <si>
    <t>Gribskov</t>
  </si>
  <si>
    <t>Odsherred</t>
  </si>
  <si>
    <t>Faxe</t>
  </si>
  <si>
    <t>Lolland</t>
  </si>
  <si>
    <t>Guldborgsund</t>
  </si>
  <si>
    <t>Bornholms</t>
  </si>
  <si>
    <t>Faaborg-Midtfyn</t>
  </si>
  <si>
    <t>Langeland</t>
  </si>
  <si>
    <t>Ærø</t>
  </si>
  <si>
    <t>Aabenraa</t>
  </si>
  <si>
    <t>Syddjurs</t>
  </si>
  <si>
    <t>Norddjurs</t>
  </si>
  <si>
    <t>Favrskov</t>
  </si>
  <si>
    <t>Ikast-Brande</t>
  </si>
  <si>
    <t>Ringkøbing-Skjern</t>
  </si>
  <si>
    <t>Vesthimmerland</t>
  </si>
  <si>
    <t>Rebild</t>
  </si>
  <si>
    <t>Mariagerfjord</t>
  </si>
  <si>
    <t>Jammerbugt</t>
  </si>
  <si>
    <t>Aalborg</t>
  </si>
  <si>
    <t xml:space="preserve">Kommuner i alt </t>
  </si>
  <si>
    <t>Kommuner i alt</t>
  </si>
  <si>
    <t>Beregningsvejledning</t>
  </si>
  <si>
    <t>Nordfyn</t>
  </si>
  <si>
    <t>Brønderslev</t>
  </si>
  <si>
    <t>Tilskud til styrket kvalitet i ældreplejen</t>
  </si>
  <si>
    <t>Samlet tilskud vedr. indvandrer og efterkommere</t>
  </si>
  <si>
    <t>særlige skatteoplysninger i for-</t>
  </si>
  <si>
    <t>Felt 1.01 - 1.05 indberettes</t>
  </si>
  <si>
    <t>Indtast kommunens budgettal i Tabel 1 cellerne: F24..F28</t>
  </si>
  <si>
    <t>---</t>
  </si>
  <si>
    <t>Tilskud til bedre kvalitet i dagtilbud</t>
  </si>
  <si>
    <t>Tilskud til generelt løft af ældreplejen</t>
  </si>
  <si>
    <t>7.81 grp. 001 Udligning vedr. udlændinge i alt</t>
  </si>
  <si>
    <t>7.80 grp. 002 Statstilskud til kommuner</t>
  </si>
  <si>
    <t>7.80 grp. 001 Kommunal udligning</t>
  </si>
  <si>
    <t xml:space="preserve">7.80 grp. 002 Statstilskud til kommuner </t>
  </si>
  <si>
    <t>7.86 grp. 001 Tilskud til vanskeligt stillede kommuner</t>
  </si>
  <si>
    <t>7.86 grp. 004 Tilskud til Ø-kommuner</t>
  </si>
  <si>
    <t>7.86 grp. 013 Tilskud til bedre kvalitet i dagtilbud</t>
  </si>
  <si>
    <t>7.86 grp. 015 Tilskud til styrket kvalitet i ældreplejen</t>
  </si>
  <si>
    <t>Halsnæs</t>
  </si>
  <si>
    <t>Tilskud til styrkelse af kommunernes likviditet</t>
  </si>
  <si>
    <t>Tilskud til kommuner med mindre øer</t>
  </si>
  <si>
    <t>Tilskud til kommuner på øer uden fast forbindelse</t>
  </si>
  <si>
    <t>Tilskud til nedsat færgetakst for godstransport</t>
  </si>
  <si>
    <t>Anm: Pkt. B.05 Indgår uafrundet i udligningsberegningen, Pkt. B.09 afrundes til hele 12-tusind (SIM afrunding kan afvige)</t>
  </si>
  <si>
    <t>Tilskud til nedsat færgetakst for passagerbefordring</t>
  </si>
  <si>
    <t>7.86 grp. 014 Tilskud til generelt løft af ældreplejen</t>
  </si>
  <si>
    <t>Bornholm</t>
  </si>
  <si>
    <t>Tilskud til kommuner med vanskelige vilkår</t>
  </si>
  <si>
    <t>7.86 grp. 022 Tilskud til kommuner med vanskelige vilkår</t>
  </si>
  <si>
    <t xml:space="preserve">7.86 grp. 021 Individuelt tilskud vedr. skattenedsættelser </t>
  </si>
  <si>
    <t>Overgangstilskud vedr. revision af uddannelsesstatistikken</t>
  </si>
  <si>
    <t>Individuel modregning sfa. skattestigning fra 2018 til 2019</t>
  </si>
  <si>
    <t xml:space="preserve">Tilskud vedr. skatteændringer fra 2017 til 2018 </t>
  </si>
  <si>
    <t>Tilskud til bekæmpelse af ensomhed</t>
  </si>
  <si>
    <t>7.86 grp. 025 Tilskud til værdig ældrepleje</t>
  </si>
  <si>
    <t>Tilskud til værdig ældrepleje</t>
  </si>
  <si>
    <t>bindelse med budgetindberet-</t>
  </si>
  <si>
    <t>Social- og Indenrigsministeriet</t>
  </si>
  <si>
    <t>Holmens Kanal 22</t>
  </si>
  <si>
    <t>1060 København K</t>
  </si>
  <si>
    <t>til Social- og Indenrigsmisteriet</t>
  </si>
  <si>
    <t>7.86 grp. 023 Overgangstilskud vedr. uddannelsesstatistikken</t>
  </si>
  <si>
    <t>7.86 grp. 026 Tilskud til bekæmpelse af ensomhed</t>
  </si>
  <si>
    <t xml:space="preserve"> Udlig-</t>
  </si>
  <si>
    <t xml:space="preserve"> Tillæg</t>
  </si>
  <si>
    <t xml:space="preserve"> Finan-</t>
  </si>
  <si>
    <t xml:space="preserve"> Over-</t>
  </si>
  <si>
    <t xml:space="preserve"> Korrek-</t>
  </si>
  <si>
    <t xml:space="preserve"> Særlig</t>
  </si>
  <si>
    <t xml:space="preserve"> Samlet</t>
  </si>
  <si>
    <t xml:space="preserve"> ning</t>
  </si>
  <si>
    <t xml:space="preserve"> for kom-</t>
  </si>
  <si>
    <t xml:space="preserve"> siering</t>
  </si>
  <si>
    <t xml:space="preserve"> udlig-</t>
  </si>
  <si>
    <t xml:space="preserve"> tion</t>
  </si>
  <si>
    <t xml:space="preserve"> for</t>
  </si>
  <si>
    <t xml:space="preserve"> kom-</t>
  </si>
  <si>
    <t xml:space="preserve"> af</t>
  </si>
  <si>
    <t xml:space="preserve"> muner</t>
  </si>
  <si>
    <t xml:space="preserve"> vedr.</t>
  </si>
  <si>
    <t xml:space="preserve"> udgifts-</t>
  </si>
  <si>
    <t xml:space="preserve"> pen-</t>
  </si>
  <si>
    <t xml:space="preserve"> beskat-</t>
  </si>
  <si>
    <t xml:space="preserve"> med</t>
  </si>
  <si>
    <t xml:space="preserve"> tillæg</t>
  </si>
  <si>
    <t xml:space="preserve"> over-</t>
  </si>
  <si>
    <t xml:space="preserve"> behov</t>
  </si>
  <si>
    <t xml:space="preserve"> sation</t>
  </si>
  <si>
    <t xml:space="preserve"> nings-</t>
  </si>
  <si>
    <t xml:space="preserve"> lavt</t>
  </si>
  <si>
    <t xml:space="preserve"> højt</t>
  </si>
  <si>
    <t xml:space="preserve"> grundlag</t>
  </si>
  <si>
    <t xml:space="preserve"> Tilskud</t>
  </si>
  <si>
    <t xml:space="preserve"> Bidrag</t>
  </si>
  <si>
    <t xml:space="preserve"> tilskud</t>
  </si>
  <si>
    <t xml:space="preserve"> til</t>
  </si>
  <si>
    <t xml:space="preserve"> ind-</t>
  </si>
  <si>
    <t xml:space="preserve"> styrket</t>
  </si>
  <si>
    <t xml:space="preserve"> værdig</t>
  </si>
  <si>
    <t xml:space="preserve"> bekæm-</t>
  </si>
  <si>
    <t xml:space="preserve"> bedre</t>
  </si>
  <si>
    <t xml:space="preserve"> betinget</t>
  </si>
  <si>
    <t xml:space="preserve"> orinært</t>
  </si>
  <si>
    <t xml:space="preserve"> vandrer</t>
  </si>
  <si>
    <t xml:space="preserve"> sel-</t>
  </si>
  <si>
    <t xml:space="preserve"> dæk-</t>
  </si>
  <si>
    <t xml:space="preserve"> ældre-</t>
  </si>
  <si>
    <t xml:space="preserve"> kva-</t>
  </si>
  <si>
    <t xml:space="preserve"> pelse</t>
  </si>
  <si>
    <t xml:space="preserve"> kvalitet</t>
  </si>
  <si>
    <t xml:space="preserve"> og</t>
  </si>
  <si>
    <t xml:space="preserve"> skabs-</t>
  </si>
  <si>
    <t xml:space="preserve"> litet i</t>
  </si>
  <si>
    <t xml:space="preserve"> pleje</t>
  </si>
  <si>
    <t xml:space="preserve"> i dag-</t>
  </si>
  <si>
    <t xml:space="preserve"> service-</t>
  </si>
  <si>
    <t xml:space="preserve"> anlægs-</t>
  </si>
  <si>
    <t xml:space="preserve"> efter-</t>
  </si>
  <si>
    <t xml:space="preserve"> skat</t>
  </si>
  <si>
    <t xml:space="preserve"> afgift</t>
  </si>
  <si>
    <t xml:space="preserve"> ensom-</t>
  </si>
  <si>
    <t xml:space="preserve"> tilbud</t>
  </si>
  <si>
    <t xml:space="preserve"> udgifter</t>
  </si>
  <si>
    <t xml:space="preserve"> plejen</t>
  </si>
  <si>
    <t xml:space="preserve"> hed</t>
  </si>
  <si>
    <t xml:space="preserve"> mere</t>
  </si>
  <si>
    <t xml:space="preserve"> til kom-</t>
  </si>
  <si>
    <t xml:space="preserve"> udsatte</t>
  </si>
  <si>
    <t xml:space="preserve"> grænse-</t>
  </si>
  <si>
    <t xml:space="preserve"> høj</t>
  </si>
  <si>
    <t xml:space="preserve"> nedsat</t>
  </si>
  <si>
    <t xml:space="preserve"> vanske-</t>
  </si>
  <si>
    <t xml:space="preserve"> yder-</t>
  </si>
  <si>
    <t xml:space="preserve"> hoved-</t>
  </si>
  <si>
    <t xml:space="preserve"> nære</t>
  </si>
  <si>
    <t xml:space="preserve"> krimi-</t>
  </si>
  <si>
    <t xml:space="preserve"> på øer</t>
  </si>
  <si>
    <t xml:space="preserve"> færge-</t>
  </si>
  <si>
    <t xml:space="preserve"> ligt</t>
  </si>
  <si>
    <t xml:space="preserve"> stads-</t>
  </si>
  <si>
    <t xml:space="preserve"> nalitet</t>
  </si>
  <si>
    <t xml:space="preserve"> mindre</t>
  </si>
  <si>
    <t xml:space="preserve"> uden</t>
  </si>
  <si>
    <t xml:space="preserve"> takst</t>
  </si>
  <si>
    <t xml:space="preserve"> stil-</t>
  </si>
  <si>
    <t xml:space="preserve"> ø-kom-</t>
  </si>
  <si>
    <t xml:space="preserve"> i visse</t>
  </si>
  <si>
    <t xml:space="preserve"> øer</t>
  </si>
  <si>
    <t xml:space="preserve"> fast</t>
  </si>
  <si>
    <t xml:space="preserve"> lede</t>
  </si>
  <si>
    <t xml:space="preserve"> bolig-</t>
  </si>
  <si>
    <t xml:space="preserve"> forbin-</t>
  </si>
  <si>
    <t xml:space="preserve"> gods-</t>
  </si>
  <si>
    <t xml:space="preserve"> passa-</t>
  </si>
  <si>
    <t xml:space="preserve"> lige</t>
  </si>
  <si>
    <t xml:space="preserve"> områder</t>
  </si>
  <si>
    <t xml:space="preserve"> delse</t>
  </si>
  <si>
    <t xml:space="preserve"> transport</t>
  </si>
  <si>
    <t xml:space="preserve"> gerer</t>
  </si>
  <si>
    <t xml:space="preserve"> vilkår</t>
  </si>
  <si>
    <t xml:space="preserve"> Indivi-</t>
  </si>
  <si>
    <t xml:space="preserve"> Mod-</t>
  </si>
  <si>
    <t xml:space="preserve"> Tilbage-</t>
  </si>
  <si>
    <t xml:space="preserve"> duelt</t>
  </si>
  <si>
    <t xml:space="preserve"> duel</t>
  </si>
  <si>
    <t xml:space="preserve"> regning</t>
  </si>
  <si>
    <t xml:space="preserve"> gangs-</t>
  </si>
  <si>
    <t xml:space="preserve"> ført</t>
  </si>
  <si>
    <t xml:space="preserve"> mod-</t>
  </si>
  <si>
    <t xml:space="preserve"> ordning</t>
  </si>
  <si>
    <t xml:space="preserve"> bidrag</t>
  </si>
  <si>
    <t xml:space="preserve"> afståelse</t>
  </si>
  <si>
    <t xml:space="preserve"> skatte-</t>
  </si>
  <si>
    <t xml:space="preserve"> sfa.</t>
  </si>
  <si>
    <t xml:space="preserve"> uddan-</t>
  </si>
  <si>
    <t xml:space="preserve"> ændrin-</t>
  </si>
  <si>
    <t xml:space="preserve"> energi-</t>
  </si>
  <si>
    <t xml:space="preserve"> nelses-</t>
  </si>
  <si>
    <t xml:space="preserve"> ger</t>
  </si>
  <si>
    <t xml:space="preserve"> stigninger</t>
  </si>
  <si>
    <t xml:space="preserve"> virksom-</t>
  </si>
  <si>
    <t xml:space="preserve"> stati-</t>
  </si>
  <si>
    <t xml:space="preserve"> reformen</t>
  </si>
  <si>
    <t xml:space="preserve"> 2017-18</t>
  </si>
  <si>
    <t xml:space="preserve"> 2018-19</t>
  </si>
  <si>
    <t xml:space="preserve"> 2019-20</t>
  </si>
  <si>
    <t xml:space="preserve"> heder</t>
  </si>
  <si>
    <t xml:space="preserve"> stikken</t>
  </si>
  <si>
    <t xml:space="preserve"> Udskriv-</t>
  </si>
  <si>
    <t xml:space="preserve"> Indkomst-</t>
  </si>
  <si>
    <t xml:space="preserve"> Grund-</t>
  </si>
  <si>
    <t xml:space="preserve"> Afgifts-</t>
  </si>
  <si>
    <t xml:space="preserve"> Beskat-</t>
  </si>
  <si>
    <t xml:space="preserve"> Udgifts-</t>
  </si>
  <si>
    <t xml:space="preserve"> skylds-</t>
  </si>
  <si>
    <t xml:space="preserve"> pligtige</t>
  </si>
  <si>
    <t xml:space="preserve"> antal</t>
  </si>
  <si>
    <t xml:space="preserve"> procent</t>
  </si>
  <si>
    <t xml:space="preserve"> promille,</t>
  </si>
  <si>
    <t xml:space="preserve"> provenu</t>
  </si>
  <si>
    <t xml:space="preserve"> grund-</t>
  </si>
  <si>
    <t xml:space="preserve"> indbyg-</t>
  </si>
  <si>
    <t xml:space="preserve"> pr.</t>
  </si>
  <si>
    <t xml:space="preserve"> selv-</t>
  </si>
  <si>
    <t xml:space="preserve"> øvrige</t>
  </si>
  <si>
    <t xml:space="preserve"> produk-</t>
  </si>
  <si>
    <t xml:space="preserve"> værdier,</t>
  </si>
  <si>
    <t xml:space="preserve"> gere</t>
  </si>
  <si>
    <t xml:space="preserve"> indbygger</t>
  </si>
  <si>
    <t xml:space="preserve"> angivne</t>
  </si>
  <si>
    <t xml:space="preserve"> ejen-</t>
  </si>
  <si>
    <t xml:space="preserve"> tions-</t>
  </si>
  <si>
    <t xml:space="preserve"> (IM-</t>
  </si>
  <si>
    <t xml:space="preserve"> indkomster</t>
  </si>
  <si>
    <t xml:space="preserve"> domme</t>
  </si>
  <si>
    <t xml:space="preserve"> jord</t>
  </si>
  <si>
    <t xml:space="preserve"> skøn)</t>
  </si>
  <si>
    <t xml:space="preserve">01. Statstilskud ordinært                                                     </t>
  </si>
  <si>
    <t xml:space="preserve">02. Betinget statstilskud service                                     </t>
  </si>
  <si>
    <t xml:space="preserve">03. Betinget statstilskud anlæg                                         </t>
  </si>
  <si>
    <t xml:space="preserve">04. Andre tilskud                                                                     </t>
  </si>
  <si>
    <t xml:space="preserve">05. Tilskud ialt (1+2+3+4)                                                   </t>
  </si>
  <si>
    <t xml:space="preserve">06. Samlet udskrivningsgrundlag                                         </t>
  </si>
  <si>
    <t xml:space="preserve">07. Grundværdi vedr. produkionsjord                                 </t>
  </si>
  <si>
    <t xml:space="preserve">08. Indregning vedr. produktionsjord                               </t>
  </si>
  <si>
    <t xml:space="preserve">09. Grundværdi vedr. øvrige ejendomme                             </t>
  </si>
  <si>
    <t xml:space="preserve">10. Indregning vedr. øvrige ejendomme                             </t>
  </si>
  <si>
    <t xml:space="preserve">11. Samlet beskatningsgrundlag (6+8+10)                         </t>
  </si>
  <si>
    <t xml:space="preserve">12. Samlet udskrivning                                                           </t>
  </si>
  <si>
    <t xml:space="preserve">13. Beskatningsniveau (12/11)                                             </t>
  </si>
  <si>
    <t xml:space="preserve">14. Samlet folketal                                                                 </t>
  </si>
  <si>
    <t xml:space="preserve">15. Beskatningsgrundlag pr. indbygger (kroner)           </t>
  </si>
  <si>
    <t xml:space="preserve">16. Grænse vedr. lavt beskatningsgrundlag (kroner)  </t>
  </si>
  <si>
    <t xml:space="preserve">17. Grænse vedr. højt beskatningsgrundlag (kroner)  </t>
  </si>
  <si>
    <t xml:space="preserve">18. Udligningsprocent beskatningsgrundlag (generel) </t>
  </si>
  <si>
    <t xml:space="preserve">19. Udligningsprocent lavt beskatningsgrundlag           </t>
  </si>
  <si>
    <t xml:space="preserve">20. Udligningsprocent højt beskatningsgrundlag           </t>
  </si>
  <si>
    <t xml:space="preserve">23. Nettodrifts- og anlægsudgifter (udgiftsbehov)     </t>
  </si>
  <si>
    <t xml:space="preserve">24. Samlet folketal                                                                 </t>
  </si>
  <si>
    <t xml:space="preserve">25. Udgiftsbehov pr. indbygger (23/24)  (kroner)        </t>
  </si>
  <si>
    <t xml:space="preserve">26. Udligningsprocent udgiftsbehov (generel)               </t>
  </si>
  <si>
    <t xml:space="preserve">27. Udligningsprocent udgiftsbehov over gennemsnit  </t>
  </si>
  <si>
    <t xml:space="preserve">28. Samlet tilskud vedr. indvandrer og efterkommer  </t>
  </si>
  <si>
    <t xml:space="preserve">29. Samlet bidrag vedr. indvandrer og efterkommer     </t>
  </si>
  <si>
    <t xml:space="preserve"> Parametre,</t>
  </si>
  <si>
    <t>30. Tilskudår</t>
  </si>
  <si>
    <t xml:space="preserve">31. Korrektion vedr. overudligning                                     </t>
  </si>
  <si>
    <t xml:space="preserve">32. Finansiering af tillæg vedr. beskatningsgrundlag </t>
  </si>
  <si>
    <t xml:space="preserve">33. Finansiering af tillæg vedr. udgiftsbehov               </t>
  </si>
  <si>
    <t>Udligning af beskatningsgrundlag (jf. B.08)</t>
  </si>
  <si>
    <t>Tillæg for kommuner med lavt beskatningsgrundlag (jf. C.08)</t>
  </si>
  <si>
    <t>Tillæg for kommuner med højt beskatningsgrundlag (jf. D.08)</t>
  </si>
  <si>
    <t>Finansieringsandel af tillæg vedr. beskatningsgrundlag (jf. G.16)</t>
  </si>
  <si>
    <t>Korr. vedr. overudligning (jf. G.15)</t>
  </si>
  <si>
    <t>Udligning af udgiftsbehov (jf E.07)</t>
  </si>
  <si>
    <t>Finansieringsandel af tillæg vedr. udgiftsbehov (jf. G.17)</t>
  </si>
  <si>
    <t>Statstilskud, ordinært  til kommuner (jf. G.11)</t>
  </si>
  <si>
    <t>Statstilskud, betinget vedr. service (jf. G.12)</t>
  </si>
  <si>
    <t>Statstilskud, betinget vedr. anlæg (jf. G.13)</t>
  </si>
  <si>
    <t xml:space="preserve">7.81 grp. 001 Udligning vedr. udlændinge </t>
  </si>
  <si>
    <t>Samlet bidrag vedr. indv. og efterkommere (jf. G.14)</t>
  </si>
  <si>
    <t>Overudligning</t>
  </si>
  <si>
    <t>Individuel modregning sfa. skattestigning fra 2019 til 2020</t>
  </si>
  <si>
    <t>Modregning vedr. afståelse af forsyningsvirksomheder</t>
  </si>
  <si>
    <t xml:space="preserve">Tilskud vedr. skatteændringer fra 2018 til 2019 </t>
  </si>
  <si>
    <t>Tilskud vedr. skatteændringer fra 2019 til 2020</t>
  </si>
  <si>
    <t>Overgangsordning vedr udligningsreform</t>
  </si>
  <si>
    <t>Tilbageført bidrag vedr. overgangsordning</t>
  </si>
  <si>
    <t>Tilskud til udsatte ø- og yderkommuner</t>
  </si>
  <si>
    <t>Tilskud til udsatte hovedstadskommuner</t>
  </si>
  <si>
    <t>Bidrag vedr. udsatte hovedstadskommuner</t>
  </si>
  <si>
    <t>Tilskud til grænsenære kommuner</t>
  </si>
  <si>
    <t>Særlig kompensation</t>
  </si>
  <si>
    <t>Anm: Pkt. G.10 Indgår uafrundet i udligningsberegningen, Pkt. G.11-G.16 afrundes til hele 12-tusind (SIM afrunding kan afvige)</t>
  </si>
  <si>
    <t>Anm: Pkt. F.03 Indgår uafrundet i udligningsberegningen, Pkt. F.07 afrundes til hele 12-tusind (SIM afrunding kan afvige)</t>
  </si>
  <si>
    <t>Anm: Pkt. E.03 Indgår uafrundet i udligningsberegningen, Pkt. E.07 afrundes til hele 12-tusind (SIM afrunding kan afvige)</t>
  </si>
  <si>
    <t>Anm: Pkt. D.03 Indgår uafrundet i udligningsberegningen, Pkt. D.08 afrundes til hele 12-tusind (SIM afrunding kan afvige)</t>
  </si>
  <si>
    <t>Anm: A.03, A.04b og A.05b afrundes til nærmeste hele 1.000 kr.  Pkt. A.08 indgår uafrundet i udligningsberegningerne</t>
  </si>
  <si>
    <t>Anm. pkt. 1.05 Bopælskommuneopgørelse</t>
  </si>
  <si>
    <t>på www.indtast.dk,i skemaet om</t>
  </si>
  <si>
    <t xml:space="preserve">21. Overudligningsgrænse  (bruges ikke)                                                     </t>
  </si>
  <si>
    <t>22. Bund vedr. udskrivningsprocent i overudligning  (bruges ikke)</t>
  </si>
  <si>
    <t xml:space="preserve"> Folketal </t>
  </si>
  <si>
    <t>mv.</t>
  </si>
  <si>
    <t>bloktilskud</t>
  </si>
  <si>
    <t>udlignings-</t>
  </si>
  <si>
    <t>procenter</t>
  </si>
  <si>
    <t>7.86 I alt</t>
  </si>
  <si>
    <t>7.81 I alt</t>
  </si>
  <si>
    <t>7.80 I alt</t>
  </si>
  <si>
    <t>tilskud</t>
  </si>
  <si>
    <t>løft</t>
  </si>
  <si>
    <t>af</t>
  </si>
  <si>
    <t>ældre-</t>
  </si>
  <si>
    <t>plejen</t>
  </si>
  <si>
    <t>blok-</t>
  </si>
  <si>
    <t>Blok-</t>
  </si>
  <si>
    <t>sierings-</t>
  </si>
  <si>
    <t>Finan-</t>
  </si>
  <si>
    <t>Tilskud</t>
  </si>
  <si>
    <t xml:space="preserve">til </t>
  </si>
  <si>
    <t>generelt</t>
  </si>
  <si>
    <t>7.86 grp. 019 Finansieringstilskud (Tilskud til styrkelse af kom. Likviditet)</t>
  </si>
  <si>
    <t>Tom</t>
  </si>
  <si>
    <t>7.86 grp. 027 Tilskud til udsatte ø- og yder kommuner</t>
  </si>
  <si>
    <t>7.86 grp. 028 Tilskud til udsatte hovedstadskommuner</t>
  </si>
  <si>
    <t>7.86 grp. 029 Tilskud til grænsenære kommuner</t>
  </si>
  <si>
    <t>7.86 grp. 030 Tilskud vedr. høj kriminalitet i visse boligområder</t>
  </si>
  <si>
    <t>7.86 grp. 031 Overgangsordning vedr. udligningsreform</t>
  </si>
  <si>
    <t xml:space="preserve">7.86 grp. 002 Tilskud til Furesø Kommune </t>
  </si>
  <si>
    <t>Tilskud til Furesø Kommune</t>
  </si>
  <si>
    <t>Bidrag vedr. tilskud til Furesø Kommune</t>
  </si>
  <si>
    <t>til</t>
  </si>
  <si>
    <t>Kom-</t>
  </si>
  <si>
    <t>mune</t>
  </si>
  <si>
    <t>vedr.</t>
  </si>
  <si>
    <t>Tilskud vedr. høj kriminalitet i visse boligområder</t>
  </si>
  <si>
    <t>Tillæg for kommuner med højt udgiftsbehov (jf. F.07)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</si>
</sst>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General_)"/>
    <numFmt numFmtId="187" formatCode="#,##0.00000_);\(#,##0.00000\)"/>
    <numFmt numFmtId="188" formatCode="#,##0.000000_);\(#,##0.000000\)"/>
    <numFmt numFmtId="189" formatCode="0.000_)"/>
    <numFmt numFmtId="190" formatCode="0.00000_)"/>
    <numFmt numFmtId="191" formatCode="0.0000_)"/>
    <numFmt numFmtId="192" formatCode="0.000000_)"/>
    <numFmt numFmtId="193" formatCode="0.0000000_)"/>
    <numFmt numFmtId="194" formatCode="0.000000"/>
    <numFmt numFmtId="195" formatCode="#,##0.0"/>
    <numFmt numFmtId="196" formatCode="_ * #,##0.0_ ;_ * \-#,##0.0_ ;_ * &quot;-&quot;??_ ;_ @_ "/>
    <numFmt numFmtId="197" formatCode="_ * #,##0_ ;_ * \-#,##0_ ;_ * &quot;-&quot;??_ ;_ @_ "/>
    <numFmt numFmtId="198" formatCode="0.0"/>
    <numFmt numFmtId="199" formatCode="0.000"/>
    <numFmt numFmtId="200" formatCode="_ * #,##0.000_ ;_ * \-#,##0.000_ ;_ * &quot;-&quot;??_ ;_ @_ "/>
    <numFmt numFmtId="201" formatCode="_ * #,##0.0000_ ;_ * \-#,##0.0000_ ;_ * &quot;-&quot;??_ ;_ @_ "/>
    <numFmt numFmtId="202" formatCode="0.0000"/>
    <numFmt numFmtId="203" formatCode="0.000000000000"/>
    <numFmt numFmtId="204" formatCode="#,##0.000"/>
    <numFmt numFmtId="205" formatCode="0.00000"/>
    <numFmt numFmtId="206" formatCode="0.0000000"/>
    <numFmt numFmtId="207" formatCode="&quot;Ja&quot;;&quot;Ja&quot;;&quot;Nej&quot;"/>
    <numFmt numFmtId="208" formatCode="&quot;Sand&quot;;&quot;Sand&quot;;&quot;Falsk&quot;"/>
    <numFmt numFmtId="209" formatCode="&quot;Til&quot;;&quot;Til&quot;;&quot;Fra&quot;"/>
    <numFmt numFmtId="210" formatCode="[$€-2]\ #.##000_);[Red]\([$€-2]\ #.##000\)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  <numFmt numFmtId="217" formatCode="#,##0.0000000000"/>
    <numFmt numFmtId="218" formatCode="&quot;Sandt&quot;;&quot;Sandt&quot;;&quot;Falsk&quot;"/>
    <numFmt numFmtId="219" formatCode="[$-406]d\.\ mmmm\ yyyy"/>
  </numFmts>
  <fonts count="68">
    <font>
      <sz val="10"/>
      <name val="Helvetic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Helvetica"/>
      <family val="2"/>
    </font>
    <font>
      <sz val="12"/>
      <name val="Helvetica"/>
      <family val="2"/>
    </font>
    <font>
      <b/>
      <sz val="10"/>
      <name val="Helvetica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Brush Script MT"/>
      <family val="4"/>
    </font>
    <font>
      <b/>
      <i/>
      <sz val="9"/>
      <name val="Arial"/>
      <family val="2"/>
    </font>
    <font>
      <i/>
      <u val="single"/>
      <sz val="9"/>
      <name val="Arial"/>
      <family val="2"/>
    </font>
    <font>
      <u val="single"/>
      <sz val="10"/>
      <color indexed="12"/>
      <name val="Helvetica"/>
      <family val="2"/>
    </font>
    <font>
      <u val="single"/>
      <sz val="10"/>
      <color indexed="36"/>
      <name val="Helvetic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63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i/>
      <sz val="10"/>
      <name val="Calibri"/>
      <family val="2"/>
    </font>
    <font>
      <i/>
      <u val="single"/>
      <sz val="9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Calibri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3F3F3F"/>
      <name val="Calibri"/>
      <family val="2"/>
    </font>
    <font>
      <b/>
      <sz val="10"/>
      <color rgb="FF3F3F3F"/>
      <name val="Calibri"/>
      <family val="2"/>
    </font>
    <font>
      <sz val="11"/>
      <color rgb="FF3F3F3F"/>
      <name val="Calibri"/>
      <family val="2"/>
    </font>
    <font>
      <sz val="10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>
        <color rgb="FFB2B2B2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3F3F3F"/>
      </right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/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3F3F3F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86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0" fillId="21" borderId="2" applyNumberFormat="0" applyAlignment="0" applyProtection="0"/>
    <xf numFmtId="0" fontId="1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4" fillId="30" borderId="3" applyNumberFormat="0" applyAlignment="0" applyProtection="0"/>
    <xf numFmtId="0" fontId="13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264">
    <xf numFmtId="186" fontId="0" fillId="0" borderId="0" xfId="0" applyAlignment="1">
      <alignment/>
    </xf>
    <xf numFmtId="186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51">
      <alignment/>
      <protection/>
    </xf>
    <xf numFmtId="186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86" fontId="0" fillId="0" borderId="0" xfId="0" applyBorder="1" applyAlignment="1">
      <alignment/>
    </xf>
    <xf numFmtId="186" fontId="5" fillId="0" borderId="0" xfId="0" applyFont="1" applyAlignment="1">
      <alignment horizontal="right"/>
    </xf>
    <xf numFmtId="186" fontId="6" fillId="0" borderId="0" xfId="0" applyFont="1" applyAlignment="1">
      <alignment horizontal="left"/>
    </xf>
    <xf numFmtId="186" fontId="5" fillId="0" borderId="0" xfId="0" applyFont="1" applyAlignment="1">
      <alignment horizontal="left"/>
    </xf>
    <xf numFmtId="3" fontId="4" fillId="0" borderId="0" xfId="51" applyNumberFormat="1">
      <alignment/>
      <protection/>
    </xf>
    <xf numFmtId="186" fontId="6" fillId="0" borderId="0" xfId="0" applyFont="1" applyAlignment="1" quotePrefix="1">
      <alignment horizontal="left"/>
    </xf>
    <xf numFmtId="186" fontId="7" fillId="0" borderId="0" xfId="0" applyFont="1" applyAlignment="1">
      <alignment/>
    </xf>
    <xf numFmtId="186" fontId="0" fillId="33" borderId="10" xfId="0" applyFill="1" applyBorder="1" applyAlignment="1">
      <alignment/>
    </xf>
    <xf numFmtId="186" fontId="0" fillId="33" borderId="10" xfId="0" applyFont="1" applyFill="1" applyBorder="1" applyAlignment="1">
      <alignment/>
    </xf>
    <xf numFmtId="186" fontId="0" fillId="33" borderId="11" xfId="0" applyFont="1" applyFill="1" applyBorder="1" applyAlignment="1">
      <alignment/>
    </xf>
    <xf numFmtId="186" fontId="0" fillId="33" borderId="12" xfId="0" applyFont="1" applyFill="1" applyBorder="1" applyAlignment="1">
      <alignment/>
    </xf>
    <xf numFmtId="186" fontId="6" fillId="34" borderId="0" xfId="0" applyFont="1" applyFill="1" applyAlignment="1">
      <alignment horizontal="left"/>
    </xf>
    <xf numFmtId="186" fontId="5" fillId="34" borderId="0" xfId="0" applyFont="1" applyFill="1" applyAlignment="1">
      <alignment horizontal="left"/>
    </xf>
    <xf numFmtId="186" fontId="5" fillId="34" borderId="0" xfId="0" applyFont="1" applyFill="1" applyAlignment="1">
      <alignment horizontal="right"/>
    </xf>
    <xf numFmtId="186" fontId="0" fillId="34" borderId="0" xfId="0" applyFont="1" applyFill="1" applyAlignment="1">
      <alignment/>
    </xf>
    <xf numFmtId="0" fontId="4" fillId="34" borderId="0" xfId="51" applyFill="1">
      <alignment/>
      <protection/>
    </xf>
    <xf numFmtId="186" fontId="0" fillId="33" borderId="13" xfId="0" applyFont="1" applyFill="1" applyBorder="1" applyAlignment="1">
      <alignment/>
    </xf>
    <xf numFmtId="186" fontId="0" fillId="0" borderId="0" xfId="0" applyAlignment="1" applyProtection="1">
      <alignment/>
      <protection/>
    </xf>
    <xf numFmtId="186" fontId="7" fillId="0" borderId="0" xfId="0" applyFont="1" applyAlignment="1" applyProtection="1">
      <alignment/>
      <protection/>
    </xf>
    <xf numFmtId="3" fontId="4" fillId="0" borderId="0" xfId="51" applyNumberForma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6" fontId="0" fillId="0" borderId="0" xfId="0" applyFont="1" applyAlignment="1" applyProtection="1">
      <alignment/>
      <protection/>
    </xf>
    <xf numFmtId="186" fontId="5" fillId="0" borderId="0" xfId="0" applyFont="1" applyAlignment="1" applyProtection="1">
      <alignment/>
      <protection/>
    </xf>
    <xf numFmtId="3" fontId="8" fillId="0" borderId="0" xfId="51" applyNumberFormat="1" applyFont="1" applyProtection="1">
      <alignment/>
      <protection/>
    </xf>
    <xf numFmtId="3" fontId="10" fillId="0" borderId="0" xfId="51" applyNumberFormat="1" applyFont="1" applyProtection="1">
      <alignment/>
      <protection/>
    </xf>
    <xf numFmtId="3" fontId="9" fillId="0" borderId="0" xfId="51" applyNumberFormat="1" applyFont="1" applyProtection="1">
      <alignment/>
      <protection/>
    </xf>
    <xf numFmtId="3" fontId="3" fillId="0" borderId="0" xfId="51" applyNumberFormat="1" applyFont="1" applyProtection="1">
      <alignment/>
      <protection/>
    </xf>
    <xf numFmtId="3" fontId="4" fillId="0" borderId="0" xfId="51" applyNumberFormat="1" applyFont="1" applyProtection="1">
      <alignment/>
      <protection/>
    </xf>
    <xf numFmtId="186" fontId="7" fillId="34" borderId="0" xfId="0" applyFont="1" applyFill="1" applyBorder="1" applyAlignment="1" applyProtection="1">
      <alignment/>
      <protection/>
    </xf>
    <xf numFmtId="186" fontId="7" fillId="34" borderId="0" xfId="0" applyFont="1" applyFill="1" applyAlignment="1" applyProtection="1">
      <alignment/>
      <protection/>
    </xf>
    <xf numFmtId="3" fontId="0" fillId="34" borderId="0" xfId="0" applyNumberFormat="1" applyFont="1" applyFill="1" applyAlignment="1" applyProtection="1">
      <alignment horizontal="right"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3" fontId="11" fillId="0" borderId="0" xfId="51" applyNumberFormat="1" applyFont="1" applyAlignment="1" applyProtection="1">
      <alignment horizontal="center"/>
      <protection/>
    </xf>
    <xf numFmtId="186" fontId="0" fillId="0" borderId="0" xfId="0" applyFont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3" fontId="7" fillId="34" borderId="0" xfId="0" applyNumberFormat="1" applyFont="1" applyFill="1" applyAlignment="1" applyProtection="1">
      <alignment horizontal="right"/>
      <protection/>
    </xf>
    <xf numFmtId="186" fontId="7" fillId="0" borderId="0" xfId="0" applyFont="1" applyAlignment="1" applyProtection="1">
      <alignment/>
      <protection/>
    </xf>
    <xf numFmtId="186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186" fontId="0" fillId="0" borderId="0" xfId="0" applyFill="1" applyAlignment="1" applyProtection="1">
      <alignment/>
      <protection/>
    </xf>
    <xf numFmtId="3" fontId="4" fillId="0" borderId="0" xfId="51" applyNumberForma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86" fontId="0" fillId="0" borderId="0" xfId="0" applyFont="1" applyFill="1" applyAlignment="1" applyProtection="1">
      <alignment/>
      <protection/>
    </xf>
    <xf numFmtId="186" fontId="0" fillId="0" borderId="0" xfId="0" applyFill="1" applyBorder="1" applyAlignment="1" applyProtection="1">
      <alignment/>
      <protection/>
    </xf>
    <xf numFmtId="3" fontId="12" fillId="0" borderId="0" xfId="51" applyNumberFormat="1" applyFont="1" applyAlignment="1" applyProtection="1">
      <alignment horizontal="right"/>
      <protection/>
    </xf>
    <xf numFmtId="186" fontId="7" fillId="0" borderId="0" xfId="0" applyFont="1" applyFill="1" applyBorder="1" applyAlignment="1" applyProtection="1">
      <alignment horizontal="center"/>
      <protection/>
    </xf>
    <xf numFmtId="186" fontId="7" fillId="35" borderId="0" xfId="0" applyFont="1" applyFill="1" applyBorder="1" applyAlignment="1" applyProtection="1">
      <alignment/>
      <protection/>
    </xf>
    <xf numFmtId="186" fontId="0" fillId="33" borderId="11" xfId="0" applyFill="1" applyBorder="1" applyAlignment="1">
      <alignment/>
    </xf>
    <xf numFmtId="186" fontId="0" fillId="0" borderId="0" xfId="0" applyBorder="1" applyAlignment="1" applyProtection="1">
      <alignment/>
      <protection/>
    </xf>
    <xf numFmtId="3" fontId="4" fillId="0" borderId="0" xfId="51" applyNumberFormat="1" applyBorder="1" applyProtection="1">
      <alignment/>
      <protection/>
    </xf>
    <xf numFmtId="3" fontId="4" fillId="0" borderId="0" xfId="51" applyNumberFormat="1" applyFont="1" applyFill="1" applyBorder="1" applyProtection="1">
      <alignment/>
      <protection/>
    </xf>
    <xf numFmtId="186" fontId="0" fillId="0" borderId="0" xfId="0" applyFont="1" applyAlignment="1" applyProtection="1" quotePrefix="1">
      <alignment/>
      <protection/>
    </xf>
    <xf numFmtId="3" fontId="4" fillId="0" borderId="0" xfId="51" applyNumberFormat="1" applyFont="1" applyBorder="1" applyProtection="1">
      <alignment/>
      <protection/>
    </xf>
    <xf numFmtId="197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86" fontId="64" fillId="21" borderId="14" xfId="52" applyNumberFormat="1" applyFont="1" applyBorder="1" applyAlignment="1">
      <alignment/>
    </xf>
    <xf numFmtId="186" fontId="64" fillId="21" borderId="15" xfId="52" applyNumberFormat="1" applyFont="1" applyBorder="1" applyAlignment="1">
      <alignment horizontal="center" vertical="center" wrapText="1"/>
    </xf>
    <xf numFmtId="186" fontId="64" fillId="21" borderId="16" xfId="52" applyNumberFormat="1" applyFont="1" applyBorder="1" applyAlignment="1">
      <alignment/>
    </xf>
    <xf numFmtId="186" fontId="64" fillId="21" borderId="17" xfId="52" applyNumberFormat="1" applyFont="1" applyBorder="1" applyAlignment="1">
      <alignment horizontal="center" vertical="center" wrapText="1"/>
    </xf>
    <xf numFmtId="186" fontId="64" fillId="21" borderId="17" xfId="52" applyNumberFormat="1" applyFont="1" applyBorder="1" applyAlignment="1">
      <alignment horizontal="center"/>
    </xf>
    <xf numFmtId="186" fontId="64" fillId="21" borderId="18" xfId="52" applyNumberFormat="1" applyFont="1" applyBorder="1" applyAlignment="1">
      <alignment/>
    </xf>
    <xf numFmtId="186" fontId="64" fillId="21" borderId="19" xfId="52" applyNumberFormat="1" applyFont="1" applyBorder="1" applyAlignment="1">
      <alignment horizontal="center" vertical="center" wrapText="1"/>
    </xf>
    <xf numFmtId="186" fontId="64" fillId="21" borderId="20" xfId="52" applyNumberFormat="1" applyFont="1" applyBorder="1" applyAlignment="1">
      <alignment horizontal="center" vertical="center" wrapText="1"/>
    </xf>
    <xf numFmtId="186" fontId="64" fillId="21" borderId="20" xfId="52" applyNumberFormat="1" applyFont="1" applyBorder="1" applyAlignment="1">
      <alignment horizontal="center"/>
    </xf>
    <xf numFmtId="186" fontId="64" fillId="21" borderId="21" xfId="52" applyNumberFormat="1" applyFont="1" applyBorder="1" applyAlignment="1">
      <alignment horizontal="center"/>
    </xf>
    <xf numFmtId="0" fontId="64" fillId="21" borderId="19" xfId="52" applyFont="1" applyBorder="1" applyAlignment="1">
      <alignment/>
    </xf>
    <xf numFmtId="3" fontId="64" fillId="21" borderId="20" xfId="52" applyNumberFormat="1" applyFont="1" applyBorder="1" applyAlignment="1">
      <alignment/>
    </xf>
    <xf numFmtId="3" fontId="64" fillId="21" borderId="20" xfId="52" applyNumberFormat="1" applyFont="1" applyBorder="1" applyAlignment="1">
      <alignment/>
    </xf>
    <xf numFmtId="3" fontId="64" fillId="21" borderId="21" xfId="52" applyNumberFormat="1" applyFont="1" applyBorder="1" applyAlignment="1">
      <alignment/>
    </xf>
    <xf numFmtId="186" fontId="64" fillId="21" borderId="20" xfId="52" applyNumberFormat="1" applyFont="1" applyBorder="1" applyAlignment="1">
      <alignment horizontal="right"/>
    </xf>
    <xf numFmtId="186" fontId="64" fillId="21" borderId="19" xfId="52" applyNumberFormat="1" applyFont="1" applyBorder="1" applyAlignment="1">
      <alignment horizontal="center"/>
    </xf>
    <xf numFmtId="186" fontId="64" fillId="21" borderId="16" xfId="52" applyNumberFormat="1" applyFont="1" applyBorder="1" applyAlignment="1">
      <alignment horizontal="left"/>
    </xf>
    <xf numFmtId="3" fontId="64" fillId="21" borderId="0" xfId="52" applyNumberFormat="1" applyFont="1" applyBorder="1" applyAlignment="1">
      <alignment horizontal="right"/>
    </xf>
    <xf numFmtId="186" fontId="64" fillId="21" borderId="19" xfId="52" applyNumberFormat="1" applyFont="1" applyBorder="1" applyAlignment="1">
      <alignment horizontal="left"/>
    </xf>
    <xf numFmtId="4" fontId="64" fillId="21" borderId="0" xfId="52" applyNumberFormat="1" applyFont="1" applyBorder="1" applyAlignment="1">
      <alignment horizontal="right"/>
    </xf>
    <xf numFmtId="3" fontId="15" fillId="0" borderId="0" xfId="51" applyNumberFormat="1" applyFont="1" applyBorder="1" applyProtection="1">
      <alignment/>
      <protection/>
    </xf>
    <xf numFmtId="3" fontId="15" fillId="0" borderId="0" xfId="51" applyNumberFormat="1" applyFont="1" applyProtection="1">
      <alignment/>
      <protection/>
    </xf>
    <xf numFmtId="0" fontId="64" fillId="21" borderId="15" xfId="52" applyFont="1" applyBorder="1" applyAlignment="1">
      <alignment/>
    </xf>
    <xf numFmtId="186" fontId="64" fillId="21" borderId="16" xfId="52" applyNumberFormat="1" applyFont="1" applyBorder="1" applyAlignment="1">
      <alignment horizontal="left" vertical="center" wrapText="1"/>
    </xf>
    <xf numFmtId="186" fontId="64" fillId="21" borderId="18" xfId="52" applyNumberFormat="1" applyFont="1" applyBorder="1" applyAlignment="1">
      <alignment horizontal="left" vertical="center" wrapText="1"/>
    </xf>
    <xf numFmtId="186" fontId="64" fillId="21" borderId="14" xfId="52" applyNumberFormat="1" applyFont="1" applyBorder="1" applyAlignment="1">
      <alignment horizontal="left" vertical="center" wrapText="1"/>
    </xf>
    <xf numFmtId="3" fontId="64" fillId="21" borderId="19" xfId="52" applyNumberFormat="1" applyFont="1" applyBorder="1" applyAlignment="1">
      <alignment/>
    </xf>
    <xf numFmtId="186" fontId="64" fillId="21" borderId="19" xfId="52" applyNumberFormat="1" applyFont="1" applyBorder="1" applyAlignment="1">
      <alignment horizontal="left" vertical="center" wrapText="1"/>
    </xf>
    <xf numFmtId="186" fontId="64" fillId="21" borderId="20" xfId="52" applyNumberFormat="1" applyFont="1" applyBorder="1" applyAlignment="1">
      <alignment horizontal="left" vertical="center" wrapText="1"/>
    </xf>
    <xf numFmtId="186" fontId="64" fillId="21" borderId="21" xfId="52" applyNumberFormat="1" applyFont="1" applyBorder="1" applyAlignment="1">
      <alignment horizontal="left" vertical="center" wrapText="1"/>
    </xf>
    <xf numFmtId="186" fontId="64" fillId="21" borderId="21" xfId="52" applyNumberFormat="1" applyFont="1" applyBorder="1" applyAlignment="1">
      <alignment horizontal="center" vertical="center" wrapText="1"/>
    </xf>
    <xf numFmtId="186" fontId="0" fillId="0" borderId="0" xfId="0" applyAlignment="1">
      <alignment horizontal="center"/>
    </xf>
    <xf numFmtId="186" fontId="33" fillId="34" borderId="0" xfId="0" applyFont="1" applyFill="1" applyAlignment="1">
      <alignment horizontal="left"/>
    </xf>
    <xf numFmtId="186" fontId="34" fillId="0" borderId="0" xfId="0" applyFont="1" applyAlignment="1" applyProtection="1" quotePrefix="1">
      <alignment/>
      <protection/>
    </xf>
    <xf numFmtId="3" fontId="35" fillId="0" borderId="0" xfId="51" applyNumberFormat="1" applyFont="1" applyProtection="1">
      <alignment/>
      <protection/>
    </xf>
    <xf numFmtId="3" fontId="36" fillId="0" borderId="0" xfId="51" applyNumberFormat="1" applyFont="1" applyProtection="1">
      <alignment/>
      <protection/>
    </xf>
    <xf numFmtId="3" fontId="37" fillId="0" borderId="0" xfId="51" applyNumberFormat="1" applyFont="1" applyProtection="1">
      <alignment/>
      <protection/>
    </xf>
    <xf numFmtId="3" fontId="38" fillId="0" borderId="0" xfId="51" applyNumberFormat="1" applyFont="1" applyProtection="1">
      <alignment/>
      <protection/>
    </xf>
    <xf numFmtId="3" fontId="39" fillId="0" borderId="0" xfId="51" applyNumberFormat="1" applyFont="1" applyProtection="1">
      <alignment/>
      <protection/>
    </xf>
    <xf numFmtId="3" fontId="40" fillId="0" borderId="0" xfId="51" applyNumberFormat="1" applyFont="1" applyProtection="1">
      <alignment/>
      <protection/>
    </xf>
    <xf numFmtId="186" fontId="33" fillId="0" borderId="0" xfId="0" applyFont="1" applyFill="1" applyBorder="1" applyAlignment="1" applyProtection="1">
      <alignment/>
      <protection/>
    </xf>
    <xf numFmtId="186" fontId="33" fillId="35" borderId="0" xfId="0" applyFont="1" applyFill="1" applyBorder="1" applyAlignment="1" applyProtection="1">
      <alignment/>
      <protection/>
    </xf>
    <xf numFmtId="186" fontId="33" fillId="0" borderId="0" xfId="0" applyFont="1" applyAlignment="1" applyProtection="1" quotePrefix="1">
      <alignment/>
      <protection/>
    </xf>
    <xf numFmtId="186" fontId="41" fillId="0" borderId="0" xfId="0" applyFont="1" applyAlignment="1" applyProtection="1">
      <alignment/>
      <protection/>
    </xf>
    <xf numFmtId="3" fontId="33" fillId="0" borderId="0" xfId="51" applyNumberFormat="1" applyFont="1" applyProtection="1">
      <alignment/>
      <protection/>
    </xf>
    <xf numFmtId="186" fontId="33" fillId="0" borderId="0" xfId="0" applyFont="1" applyAlignment="1" applyProtection="1">
      <alignment/>
      <protection/>
    </xf>
    <xf numFmtId="186" fontId="42" fillId="0" borderId="0" xfId="0" applyFont="1" applyAlignment="1" applyProtection="1" quotePrefix="1">
      <alignment/>
      <protection/>
    </xf>
    <xf numFmtId="183" fontId="0" fillId="0" borderId="0" xfId="0" applyNumberFormat="1" applyFont="1" applyAlignment="1">
      <alignment/>
    </xf>
    <xf numFmtId="201" fontId="64" fillId="21" borderId="20" xfId="52" applyNumberFormat="1" applyFont="1" applyBorder="1" applyAlignment="1">
      <alignment/>
    </xf>
    <xf numFmtId="201" fontId="64" fillId="21" borderId="19" xfId="52" applyNumberFormat="1" applyFont="1" applyBorder="1" applyAlignment="1">
      <alignment/>
    </xf>
    <xf numFmtId="213" fontId="64" fillId="21" borderId="20" xfId="52" applyNumberFormat="1" applyFont="1" applyBorder="1" applyAlignment="1">
      <alignment/>
    </xf>
    <xf numFmtId="202" fontId="64" fillId="21" borderId="20" xfId="52" applyNumberFormat="1" applyFont="1" applyBorder="1" applyAlignment="1">
      <alignment/>
    </xf>
    <xf numFmtId="211" fontId="64" fillId="21" borderId="20" xfId="52" applyNumberFormat="1" applyFont="1" applyBorder="1" applyAlignment="1">
      <alignment/>
    </xf>
    <xf numFmtId="202" fontId="64" fillId="21" borderId="20" xfId="52" applyNumberFormat="1" applyFont="1" applyBorder="1" applyAlignment="1">
      <alignment/>
    </xf>
    <xf numFmtId="201" fontId="64" fillId="21" borderId="21" xfId="52" applyNumberFormat="1" applyFont="1" applyBorder="1" applyAlignment="1">
      <alignment/>
    </xf>
    <xf numFmtId="186" fontId="64" fillId="21" borderId="21" xfId="52" applyNumberFormat="1" applyFont="1" applyBorder="1" applyAlignment="1" quotePrefix="1">
      <alignment horizontal="center"/>
    </xf>
    <xf numFmtId="186" fontId="64" fillId="21" borderId="22" xfId="52" applyNumberFormat="1" applyFont="1" applyBorder="1" applyAlignment="1" quotePrefix="1">
      <alignment horizontal="center"/>
    </xf>
    <xf numFmtId="211" fontId="64" fillId="21" borderId="20" xfId="52" applyNumberFormat="1" applyFont="1" applyBorder="1" applyAlignment="1">
      <alignment/>
    </xf>
    <xf numFmtId="186" fontId="0" fillId="0" borderId="0" xfId="0" applyFont="1" applyAlignment="1" applyProtection="1">
      <alignment horizontal="right"/>
      <protection/>
    </xf>
    <xf numFmtId="186" fontId="0" fillId="0" borderId="0" xfId="0" applyFont="1" applyAlignment="1" applyProtection="1">
      <alignment horizontal="right"/>
      <protection/>
    </xf>
    <xf numFmtId="186" fontId="56" fillId="20" borderId="4" xfId="34" applyNumberFormat="1" applyFont="1" applyBorder="1" applyAlignment="1" applyProtection="1">
      <alignment horizontal="center"/>
      <protection locked="0"/>
    </xf>
    <xf numFmtId="3" fontId="65" fillId="20" borderId="4" xfId="34" applyNumberFormat="1" applyFont="1" applyBorder="1" applyAlignment="1" applyProtection="1">
      <alignment horizontal="right"/>
      <protection locked="0"/>
    </xf>
    <xf numFmtId="186" fontId="65" fillId="20" borderId="4" xfId="34" applyNumberFormat="1" applyFont="1" applyBorder="1" applyAlignment="1" applyProtection="1">
      <alignment/>
      <protection locked="0"/>
    </xf>
    <xf numFmtId="3" fontId="65" fillId="20" borderId="21" xfId="34" applyNumberFormat="1" applyFont="1" applyBorder="1" applyAlignment="1" applyProtection="1">
      <alignment horizontal="right"/>
      <protection locked="0"/>
    </xf>
    <xf numFmtId="186" fontId="33" fillId="34" borderId="0" xfId="0" applyFont="1" applyFill="1" applyAlignment="1" applyProtection="1">
      <alignment horizontal="left"/>
      <protection/>
    </xf>
    <xf numFmtId="186" fontId="56" fillId="21" borderId="14" xfId="52" applyNumberFormat="1" applyFont="1" applyBorder="1" applyAlignment="1" applyProtection="1">
      <alignment horizontal="center"/>
      <protection/>
    </xf>
    <xf numFmtId="186" fontId="56" fillId="21" borderId="23" xfId="52" applyNumberFormat="1" applyFont="1" applyBorder="1" applyAlignment="1" applyProtection="1">
      <alignment horizontal="center"/>
      <protection/>
    </xf>
    <xf numFmtId="186" fontId="56" fillId="21" borderId="15" xfId="52" applyNumberFormat="1" applyFont="1" applyBorder="1" applyAlignment="1" applyProtection="1">
      <alignment horizontal="center"/>
      <protection/>
    </xf>
    <xf numFmtId="186" fontId="56" fillId="21" borderId="16" xfId="52" applyNumberFormat="1" applyFont="1" applyBorder="1" applyAlignment="1" applyProtection="1">
      <alignment horizontal="center"/>
      <protection/>
    </xf>
    <xf numFmtId="186" fontId="66" fillId="21" borderId="0" xfId="52" applyNumberFormat="1" applyFont="1" applyBorder="1" applyAlignment="1" applyProtection="1">
      <alignment horizontal="left"/>
      <protection/>
    </xf>
    <xf numFmtId="186" fontId="56" fillId="21" borderId="0" xfId="52" applyNumberFormat="1" applyFont="1" applyBorder="1" applyAlignment="1" applyProtection="1">
      <alignment horizontal="center"/>
      <protection/>
    </xf>
    <xf numFmtId="186" fontId="56" fillId="21" borderId="17" xfId="52" applyNumberFormat="1" applyFont="1" applyBorder="1" applyAlignment="1" applyProtection="1">
      <alignment horizontal="center"/>
      <protection/>
    </xf>
    <xf numFmtId="186" fontId="66" fillId="21" borderId="0" xfId="52" applyNumberFormat="1" applyFont="1" applyBorder="1" applyAlignment="1" applyProtection="1">
      <alignment horizontal="center"/>
      <protection/>
    </xf>
    <xf numFmtId="186" fontId="56" fillId="21" borderId="18" xfId="52" applyNumberFormat="1" applyFont="1" applyBorder="1" applyAlignment="1" applyProtection="1">
      <alignment horizontal="center"/>
      <protection/>
    </xf>
    <xf numFmtId="186" fontId="56" fillId="21" borderId="24" xfId="52" applyNumberFormat="1" applyFont="1" applyBorder="1" applyAlignment="1" applyProtection="1">
      <alignment horizontal="center"/>
      <protection/>
    </xf>
    <xf numFmtId="186" fontId="56" fillId="21" borderId="22" xfId="52" applyNumberFormat="1" applyFont="1" applyBorder="1" applyAlignment="1" applyProtection="1">
      <alignment horizontal="center"/>
      <protection/>
    </xf>
    <xf numFmtId="186" fontId="33" fillId="34" borderId="0" xfId="0" applyFont="1" applyFill="1" applyAlignment="1" applyProtection="1">
      <alignment horizontal="center"/>
      <protection/>
    </xf>
    <xf numFmtId="186" fontId="6" fillId="34" borderId="0" xfId="0" applyFont="1" applyFill="1" applyAlignment="1" applyProtection="1">
      <alignment horizontal="left"/>
      <protection/>
    </xf>
    <xf numFmtId="186" fontId="64" fillId="21" borderId="14" xfId="52" applyNumberFormat="1" applyFont="1" applyBorder="1" applyAlignment="1" applyProtection="1">
      <alignment horizontal="left"/>
      <protection/>
    </xf>
    <xf numFmtId="186" fontId="64" fillId="21" borderId="23" xfId="52" applyNumberFormat="1" applyFont="1" applyBorder="1" applyAlignment="1" applyProtection="1">
      <alignment horizontal="left"/>
      <protection/>
    </xf>
    <xf numFmtId="186" fontId="64" fillId="21" borderId="15" xfId="52" applyNumberFormat="1" applyFont="1" applyBorder="1" applyAlignment="1" applyProtection="1">
      <alignment horizontal="left"/>
      <protection/>
    </xf>
    <xf numFmtId="186" fontId="64" fillId="21" borderId="19" xfId="52" applyNumberFormat="1" applyFont="1" applyBorder="1" applyAlignment="1" applyProtection="1">
      <alignment horizontal="center"/>
      <protection/>
    </xf>
    <xf numFmtId="186" fontId="64" fillId="21" borderId="18" xfId="52" applyNumberFormat="1" applyFont="1" applyBorder="1" applyAlignment="1" applyProtection="1">
      <alignment horizontal="left"/>
      <protection/>
    </xf>
    <xf numFmtId="186" fontId="64" fillId="21" borderId="24" xfId="52" applyNumberFormat="1" applyFont="1" applyBorder="1" applyAlignment="1" applyProtection="1">
      <alignment horizontal="left"/>
      <protection/>
    </xf>
    <xf numFmtId="186" fontId="64" fillId="21" borderId="22" xfId="52" applyNumberFormat="1" applyFont="1" applyBorder="1" applyAlignment="1" applyProtection="1">
      <alignment horizontal="left"/>
      <protection/>
    </xf>
    <xf numFmtId="186" fontId="64" fillId="21" borderId="21" xfId="52" applyNumberFormat="1" applyFont="1" applyBorder="1" applyAlignment="1" applyProtection="1">
      <alignment horizontal="center"/>
      <protection/>
    </xf>
    <xf numFmtId="186" fontId="67" fillId="21" borderId="14" xfId="52" applyNumberFormat="1" applyFont="1" applyBorder="1" applyAlignment="1" applyProtection="1">
      <alignment horizontal="left"/>
      <protection/>
    </xf>
    <xf numFmtId="186" fontId="67" fillId="21" borderId="23" xfId="52" applyNumberFormat="1" applyFont="1" applyBorder="1" applyAlignment="1" applyProtection="1">
      <alignment horizontal="left"/>
      <protection/>
    </xf>
    <xf numFmtId="186" fontId="67" fillId="21" borderId="15" xfId="52" applyNumberFormat="1" applyFont="1" applyBorder="1" applyAlignment="1" applyProtection="1">
      <alignment horizontal="left"/>
      <protection/>
    </xf>
    <xf numFmtId="186" fontId="0" fillId="0" borderId="0" xfId="0" applyAlignment="1" applyProtection="1" quotePrefix="1">
      <alignment/>
      <protection/>
    </xf>
    <xf numFmtId="186" fontId="67" fillId="21" borderId="16" xfId="52" applyNumberFormat="1" applyFont="1" applyBorder="1" applyAlignment="1" applyProtection="1">
      <alignment horizontal="left"/>
      <protection/>
    </xf>
    <xf numFmtId="186" fontId="67" fillId="21" borderId="0" xfId="52" applyNumberFormat="1" applyFont="1" applyBorder="1" applyAlignment="1" applyProtection="1">
      <alignment horizontal="left"/>
      <protection/>
    </xf>
    <xf numFmtId="186" fontId="67" fillId="21" borderId="17" xfId="52" applyNumberFormat="1" applyFont="1" applyBorder="1" applyAlignment="1" applyProtection="1">
      <alignment horizontal="left"/>
      <protection/>
    </xf>
    <xf numFmtId="186" fontId="67" fillId="21" borderId="18" xfId="52" applyNumberFormat="1" applyFont="1" applyBorder="1" applyAlignment="1" applyProtection="1">
      <alignment horizontal="left"/>
      <protection/>
    </xf>
    <xf numFmtId="186" fontId="67" fillId="21" borderId="24" xfId="52" applyNumberFormat="1" applyFont="1" applyBorder="1" applyAlignment="1" applyProtection="1">
      <alignment horizontal="left"/>
      <protection/>
    </xf>
    <xf numFmtId="186" fontId="67" fillId="21" borderId="22" xfId="52" applyNumberFormat="1" applyFont="1" applyBorder="1" applyAlignment="1" applyProtection="1">
      <alignment horizontal="left"/>
      <protection/>
    </xf>
    <xf numFmtId="186" fontId="67" fillId="20" borderId="25" xfId="34" applyNumberFormat="1" applyFont="1" applyBorder="1" applyAlignment="1" applyProtection="1">
      <alignment horizontal="left"/>
      <protection/>
    </xf>
    <xf numFmtId="186" fontId="67" fillId="20" borderId="26" xfId="34" applyNumberFormat="1" applyFont="1" applyBorder="1" applyAlignment="1" applyProtection="1">
      <alignment horizontal="left"/>
      <protection/>
    </xf>
    <xf numFmtId="186" fontId="67" fillId="20" borderId="27" xfId="34" applyNumberFormat="1" applyFont="1" applyBorder="1" applyAlignment="1" applyProtection="1">
      <alignment horizontal="left"/>
      <protection/>
    </xf>
    <xf numFmtId="186" fontId="67" fillId="20" borderId="28" xfId="34" applyNumberFormat="1" applyFont="1" applyBorder="1" applyAlignment="1" applyProtection="1">
      <alignment horizontal="left"/>
      <protection/>
    </xf>
    <xf numFmtId="186" fontId="67" fillId="20" borderId="29" xfId="34" applyNumberFormat="1" applyFont="1" applyBorder="1" applyAlignment="1" applyProtection="1">
      <alignment horizontal="left"/>
      <protection/>
    </xf>
    <xf numFmtId="186" fontId="67" fillId="20" borderId="30" xfId="34" applyNumberFormat="1" applyFont="1" applyBorder="1" applyAlignment="1" applyProtection="1">
      <alignment horizontal="left"/>
      <protection/>
    </xf>
    <xf numFmtId="186" fontId="64" fillId="21" borderId="13" xfId="52" applyNumberFormat="1" applyFont="1" applyBorder="1" applyAlignment="1" applyProtection="1">
      <alignment horizontal="center"/>
      <protection/>
    </xf>
    <xf numFmtId="186" fontId="64" fillId="21" borderId="31" xfId="52" applyNumberFormat="1" applyFont="1" applyBorder="1" applyAlignment="1" applyProtection="1">
      <alignment horizontal="center"/>
      <protection/>
    </xf>
    <xf numFmtId="186" fontId="64" fillId="21" borderId="32" xfId="52" applyNumberFormat="1" applyFont="1" applyBorder="1" applyAlignment="1" applyProtection="1">
      <alignment horizontal="center"/>
      <protection/>
    </xf>
    <xf numFmtId="186" fontId="64" fillId="21" borderId="33" xfId="52" applyNumberFormat="1" applyFont="1" applyBorder="1" applyAlignment="1" applyProtection="1">
      <alignment horizontal="center"/>
      <protection/>
    </xf>
    <xf numFmtId="186" fontId="64" fillId="21" borderId="10" xfId="52" applyNumberFormat="1" applyFont="1" applyBorder="1" applyAlignment="1" applyProtection="1">
      <alignment horizontal="center"/>
      <protection/>
    </xf>
    <xf numFmtId="186" fontId="64" fillId="21" borderId="0" xfId="52" applyNumberFormat="1" applyFont="1" applyBorder="1" applyAlignment="1" applyProtection="1">
      <alignment horizontal="center"/>
      <protection/>
    </xf>
    <xf numFmtId="186" fontId="64" fillId="21" borderId="34" xfId="52" applyNumberFormat="1" applyFont="1" applyBorder="1" applyAlignment="1" applyProtection="1">
      <alignment horizontal="center"/>
      <protection/>
    </xf>
    <xf numFmtId="186" fontId="64" fillId="21" borderId="35" xfId="52" applyNumberFormat="1" applyFont="1" applyBorder="1" applyAlignment="1" applyProtection="1">
      <alignment horizontal="center"/>
      <protection/>
    </xf>
    <xf numFmtId="186" fontId="64" fillId="21" borderId="11" xfId="52" applyNumberFormat="1" applyFont="1" applyBorder="1" applyAlignment="1" applyProtection="1">
      <alignment horizontal="center"/>
      <protection/>
    </xf>
    <xf numFmtId="186" fontId="64" fillId="21" borderId="36" xfId="52" applyNumberFormat="1" applyFont="1" applyBorder="1" applyAlignment="1" applyProtection="1">
      <alignment horizontal="center"/>
      <protection/>
    </xf>
    <xf numFmtId="186" fontId="64" fillId="21" borderId="37" xfId="52" applyNumberFormat="1" applyFont="1" applyBorder="1" applyAlignment="1" applyProtection="1">
      <alignment horizontal="center"/>
      <protection/>
    </xf>
    <xf numFmtId="186" fontId="64" fillId="21" borderId="38" xfId="52" applyNumberFormat="1" applyFont="1" applyBorder="1" applyAlignment="1" applyProtection="1">
      <alignment horizontal="center"/>
      <protection/>
    </xf>
    <xf numFmtId="186" fontId="65" fillId="21" borderId="14" xfId="52" applyNumberFormat="1" applyFont="1" applyBorder="1" applyAlignment="1" applyProtection="1">
      <alignment/>
      <protection/>
    </xf>
    <xf numFmtId="186" fontId="67" fillId="21" borderId="23" xfId="52" applyNumberFormat="1" applyFont="1" applyBorder="1" applyAlignment="1" applyProtection="1">
      <alignment/>
      <protection/>
    </xf>
    <xf numFmtId="186" fontId="67" fillId="21" borderId="15" xfId="52" applyNumberFormat="1" applyFont="1" applyBorder="1" applyAlignment="1" applyProtection="1">
      <alignment/>
      <protection/>
    </xf>
    <xf numFmtId="3" fontId="67" fillId="21" borderId="14" xfId="52" applyNumberFormat="1" applyFont="1" applyBorder="1" applyAlignment="1" applyProtection="1">
      <alignment horizontal="right"/>
      <protection/>
    </xf>
    <xf numFmtId="3" fontId="67" fillId="21" borderId="19" xfId="52" applyNumberFormat="1" applyFont="1" applyBorder="1" applyAlignment="1" applyProtection="1">
      <alignment horizontal="right"/>
      <protection/>
    </xf>
    <xf numFmtId="3" fontId="67" fillId="21" borderId="15" xfId="52" applyNumberFormat="1" applyFont="1" applyBorder="1" applyAlignment="1" applyProtection="1">
      <alignment horizontal="right"/>
      <protection/>
    </xf>
    <xf numFmtId="186" fontId="65" fillId="21" borderId="16" xfId="52" applyNumberFormat="1" applyFont="1" applyBorder="1" applyAlignment="1" applyProtection="1">
      <alignment/>
      <protection/>
    </xf>
    <xf numFmtId="186" fontId="67" fillId="21" borderId="0" xfId="52" applyNumberFormat="1" applyFont="1" applyBorder="1" applyAlignment="1" applyProtection="1">
      <alignment/>
      <protection/>
    </xf>
    <xf numFmtId="186" fontId="67" fillId="21" borderId="17" xfId="52" applyNumberFormat="1" applyFont="1" applyBorder="1" applyAlignment="1" applyProtection="1">
      <alignment/>
      <protection/>
    </xf>
    <xf numFmtId="3" fontId="67" fillId="21" borderId="16" xfId="52" applyNumberFormat="1" applyFont="1" applyBorder="1" applyAlignment="1" applyProtection="1">
      <alignment horizontal="right"/>
      <protection/>
    </xf>
    <xf numFmtId="3" fontId="67" fillId="21" borderId="20" xfId="52" applyNumberFormat="1" applyFont="1" applyBorder="1" applyAlignment="1" applyProtection="1">
      <alignment horizontal="right"/>
      <protection/>
    </xf>
    <xf numFmtId="3" fontId="67" fillId="21" borderId="17" xfId="52" applyNumberFormat="1" applyFont="1" applyBorder="1" applyAlignment="1" applyProtection="1">
      <alignment horizontal="right"/>
      <protection/>
    </xf>
    <xf numFmtId="186" fontId="65" fillId="21" borderId="18" xfId="52" applyNumberFormat="1" applyFont="1" applyBorder="1" applyAlignment="1" applyProtection="1">
      <alignment/>
      <protection/>
    </xf>
    <xf numFmtId="186" fontId="67" fillId="21" borderId="24" xfId="52" applyNumberFormat="1" applyFont="1" applyBorder="1" applyAlignment="1" applyProtection="1">
      <alignment/>
      <protection/>
    </xf>
    <xf numFmtId="186" fontId="67" fillId="21" borderId="22" xfId="52" applyNumberFormat="1" applyFont="1" applyBorder="1" applyAlignment="1" applyProtection="1">
      <alignment/>
      <protection/>
    </xf>
    <xf numFmtId="3" fontId="67" fillId="21" borderId="18" xfId="52" applyNumberFormat="1" applyFont="1" applyBorder="1" applyAlignment="1" applyProtection="1">
      <alignment horizontal="right"/>
      <protection/>
    </xf>
    <xf numFmtId="3" fontId="67" fillId="21" borderId="21" xfId="52" applyNumberFormat="1" applyFont="1" applyBorder="1" applyAlignment="1" applyProtection="1">
      <alignment horizontal="right"/>
      <protection/>
    </xf>
    <xf numFmtId="3" fontId="67" fillId="21" borderId="22" xfId="52" applyNumberFormat="1" applyFont="1" applyBorder="1" applyAlignment="1" applyProtection="1">
      <alignment horizontal="right"/>
      <protection/>
    </xf>
    <xf numFmtId="3" fontId="67" fillId="21" borderId="19" xfId="52" applyNumberFormat="1" applyFont="1" applyBorder="1" applyAlignment="1" applyProtection="1">
      <alignment/>
      <protection/>
    </xf>
    <xf numFmtId="3" fontId="67" fillId="21" borderId="20" xfId="52" applyNumberFormat="1" applyFont="1" applyBorder="1" applyAlignment="1" applyProtection="1">
      <alignment/>
      <protection/>
    </xf>
    <xf numFmtId="3" fontId="67" fillId="21" borderId="21" xfId="52" applyNumberFormat="1" applyFont="1" applyBorder="1" applyAlignment="1" applyProtection="1">
      <alignment/>
      <protection/>
    </xf>
    <xf numFmtId="186" fontId="65" fillId="21" borderId="39" xfId="52" applyNumberFormat="1" applyFont="1" applyBorder="1" applyAlignment="1" applyProtection="1">
      <alignment/>
      <protection/>
    </xf>
    <xf numFmtId="186" fontId="67" fillId="21" borderId="40" xfId="52" applyNumberFormat="1" applyFont="1" applyBorder="1" applyAlignment="1" applyProtection="1">
      <alignment/>
      <protection/>
    </xf>
    <xf numFmtId="186" fontId="67" fillId="21" borderId="41" xfId="52" applyNumberFormat="1" applyFont="1" applyBorder="1" applyAlignment="1" applyProtection="1">
      <alignment/>
      <protection/>
    </xf>
    <xf numFmtId="3" fontId="67" fillId="21" borderId="39" xfId="52" applyNumberFormat="1" applyFont="1" applyBorder="1" applyAlignment="1" applyProtection="1">
      <alignment/>
      <protection/>
    </xf>
    <xf numFmtId="3" fontId="67" fillId="21" borderId="4" xfId="52" applyNumberFormat="1" applyFont="1" applyBorder="1" applyAlignment="1" applyProtection="1">
      <alignment horizontal="right"/>
      <protection/>
    </xf>
    <xf numFmtId="3" fontId="67" fillId="21" borderId="41" xfId="52" applyNumberFormat="1" applyFont="1" applyBorder="1" applyAlignment="1" applyProtection="1">
      <alignment horizontal="right"/>
      <protection/>
    </xf>
    <xf numFmtId="186" fontId="65" fillId="21" borderId="40" xfId="52" applyNumberFormat="1" applyFont="1" applyBorder="1" applyAlignment="1" applyProtection="1">
      <alignment/>
      <protection/>
    </xf>
    <xf numFmtId="186" fontId="65" fillId="21" borderId="41" xfId="52" applyNumberFormat="1" applyFont="1" applyBorder="1" applyAlignment="1" applyProtection="1">
      <alignment/>
      <protection/>
    </xf>
    <xf numFmtId="3" fontId="65" fillId="21" borderId="4" xfId="52" applyNumberFormat="1" applyFont="1" applyBorder="1" applyAlignment="1" applyProtection="1">
      <alignment/>
      <protection/>
    </xf>
    <xf numFmtId="3" fontId="65" fillId="21" borderId="4" xfId="52" applyNumberFormat="1" applyFont="1" applyBorder="1" applyAlignment="1" applyProtection="1">
      <alignment horizontal="right"/>
      <protection/>
    </xf>
    <xf numFmtId="3" fontId="65" fillId="21" borderId="41" xfId="52" applyNumberFormat="1" applyFont="1" applyBorder="1" applyAlignment="1" applyProtection="1">
      <alignment horizontal="right"/>
      <protection/>
    </xf>
    <xf numFmtId="186" fontId="33" fillId="34" borderId="0" xfId="0" applyFont="1" applyFill="1" applyAlignment="1" applyProtection="1">
      <alignment/>
      <protection/>
    </xf>
    <xf numFmtId="186" fontId="6" fillId="34" borderId="0" xfId="0" applyFont="1" applyFill="1" applyAlignment="1" applyProtection="1">
      <alignment/>
      <protection/>
    </xf>
    <xf numFmtId="186" fontId="65" fillId="21" borderId="13" xfId="52" applyNumberFormat="1" applyFont="1" applyBorder="1" applyAlignment="1" applyProtection="1">
      <alignment/>
      <protection/>
    </xf>
    <xf numFmtId="186" fontId="65" fillId="21" borderId="31" xfId="52" applyNumberFormat="1" applyFont="1" applyBorder="1" applyAlignment="1" applyProtection="1">
      <alignment/>
      <protection/>
    </xf>
    <xf numFmtId="186" fontId="65" fillId="21" borderId="32" xfId="52" applyNumberFormat="1" applyFont="1" applyBorder="1" applyAlignment="1" applyProtection="1">
      <alignment/>
      <protection/>
    </xf>
    <xf numFmtId="3" fontId="65" fillId="21" borderId="33" xfId="52" applyNumberFormat="1" applyFont="1" applyBorder="1" applyAlignment="1" applyProtection="1">
      <alignment horizontal="right"/>
      <protection/>
    </xf>
    <xf numFmtId="186" fontId="65" fillId="21" borderId="10" xfId="52" applyNumberFormat="1" applyFont="1" applyBorder="1" applyAlignment="1" applyProtection="1">
      <alignment/>
      <protection/>
    </xf>
    <xf numFmtId="186" fontId="67" fillId="21" borderId="34" xfId="52" applyNumberFormat="1" applyFont="1" applyBorder="1" applyAlignment="1" applyProtection="1">
      <alignment/>
      <protection/>
    </xf>
    <xf numFmtId="3" fontId="67" fillId="21" borderId="35" xfId="52" applyNumberFormat="1" applyFont="1" applyBorder="1" applyAlignment="1" applyProtection="1">
      <alignment horizontal="right"/>
      <protection/>
    </xf>
    <xf numFmtId="186" fontId="65" fillId="21" borderId="11" xfId="52" applyNumberFormat="1" applyFont="1" applyBorder="1" applyAlignment="1" applyProtection="1">
      <alignment/>
      <protection/>
    </xf>
    <xf numFmtId="186" fontId="67" fillId="21" borderId="36" xfId="52" applyNumberFormat="1" applyFont="1" applyBorder="1" applyAlignment="1" applyProtection="1">
      <alignment/>
      <protection/>
    </xf>
    <xf numFmtId="186" fontId="67" fillId="21" borderId="37" xfId="52" applyNumberFormat="1" applyFont="1" applyBorder="1" applyAlignment="1" applyProtection="1">
      <alignment/>
      <protection/>
    </xf>
    <xf numFmtId="3" fontId="67" fillId="21" borderId="38" xfId="52" applyNumberFormat="1" applyFont="1" applyBorder="1" applyAlignment="1" applyProtection="1">
      <alignment horizontal="right"/>
      <protection/>
    </xf>
    <xf numFmtId="186" fontId="65" fillId="21" borderId="42" xfId="52" applyNumberFormat="1" applyFont="1" applyBorder="1" applyAlignment="1" applyProtection="1">
      <alignment/>
      <protection/>
    </xf>
    <xf numFmtId="186" fontId="65" fillId="21" borderId="43" xfId="52" applyNumberFormat="1" applyFont="1" applyBorder="1" applyAlignment="1" applyProtection="1">
      <alignment/>
      <protection/>
    </xf>
    <xf numFmtId="3" fontId="65" fillId="21" borderId="44" xfId="52" applyNumberFormat="1" applyFont="1" applyBorder="1" applyAlignment="1" applyProtection="1">
      <alignment horizontal="right"/>
      <protection/>
    </xf>
    <xf numFmtId="186" fontId="65" fillId="21" borderId="45" xfId="52" applyNumberFormat="1" applyFont="1" applyBorder="1" applyAlignment="1" applyProtection="1">
      <alignment/>
      <protection/>
    </xf>
    <xf numFmtId="186" fontId="67" fillId="21" borderId="46" xfId="52" applyNumberFormat="1" applyFont="1" applyBorder="1" applyAlignment="1" applyProtection="1">
      <alignment/>
      <protection/>
    </xf>
    <xf numFmtId="3" fontId="67" fillId="21" borderId="47" xfId="52" applyNumberFormat="1" applyFont="1" applyBorder="1" applyAlignment="1" applyProtection="1">
      <alignment horizontal="right"/>
      <protection/>
    </xf>
    <xf numFmtId="3" fontId="65" fillId="21" borderId="32" xfId="52" applyNumberFormat="1" applyFont="1" applyBorder="1" applyAlignment="1" applyProtection="1">
      <alignment horizontal="right"/>
      <protection/>
    </xf>
    <xf numFmtId="3" fontId="67" fillId="21" borderId="37" xfId="52" applyNumberFormat="1" applyFont="1" applyBorder="1" applyAlignment="1" applyProtection="1">
      <alignment horizontal="right"/>
      <protection/>
    </xf>
    <xf numFmtId="186" fontId="65" fillId="21" borderId="48" xfId="52" applyNumberFormat="1" applyFont="1" applyBorder="1" applyAlignment="1" applyProtection="1">
      <alignment/>
      <protection/>
    </xf>
    <xf numFmtId="186" fontId="65" fillId="21" borderId="49" xfId="52" applyNumberFormat="1" applyFont="1" applyBorder="1" applyAlignment="1" applyProtection="1">
      <alignment/>
      <protection/>
    </xf>
    <xf numFmtId="3" fontId="65" fillId="21" borderId="50" xfId="52" applyNumberFormat="1" applyFont="1" applyBorder="1" applyAlignment="1" applyProtection="1">
      <alignment horizontal="right"/>
      <protection/>
    </xf>
    <xf numFmtId="3" fontId="65" fillId="21" borderId="51" xfId="52" applyNumberFormat="1" applyFont="1" applyBorder="1" applyAlignment="1" applyProtection="1">
      <alignment horizontal="right"/>
      <protection/>
    </xf>
    <xf numFmtId="186" fontId="0" fillId="0" borderId="0" xfId="0" applyAlignment="1" applyProtection="1">
      <alignment horizontal="right"/>
      <protection/>
    </xf>
    <xf numFmtId="186" fontId="67" fillId="21" borderId="10" xfId="52" applyNumberFormat="1" applyFont="1" applyBorder="1" applyAlignment="1" applyProtection="1">
      <alignment/>
      <protection/>
    </xf>
    <xf numFmtId="186" fontId="67" fillId="21" borderId="11" xfId="52" applyNumberFormat="1" applyFont="1" applyBorder="1" applyAlignment="1" applyProtection="1">
      <alignment/>
      <protection/>
    </xf>
    <xf numFmtId="3" fontId="67" fillId="21" borderId="34" xfId="52" applyNumberFormat="1" applyFont="1" applyBorder="1" applyAlignment="1" applyProtection="1">
      <alignment horizontal="right"/>
      <protection/>
    </xf>
    <xf numFmtId="186" fontId="65" fillId="21" borderId="0" xfId="52" applyNumberFormat="1" applyFont="1" applyBorder="1" applyAlignment="1" applyProtection="1">
      <alignment/>
      <protection/>
    </xf>
    <xf numFmtId="3" fontId="65" fillId="21" borderId="34" xfId="52" applyNumberFormat="1" applyFont="1" applyBorder="1" applyAlignment="1" applyProtection="1">
      <alignment horizontal="right"/>
      <protection/>
    </xf>
    <xf numFmtId="186" fontId="65" fillId="21" borderId="33" xfId="52" applyNumberFormat="1" applyFont="1" applyBorder="1" applyAlignment="1" applyProtection="1">
      <alignment horizontal="center"/>
      <protection/>
    </xf>
    <xf numFmtId="186" fontId="65" fillId="21" borderId="32" xfId="52" applyNumberFormat="1" applyFont="1" applyBorder="1" applyAlignment="1" applyProtection="1">
      <alignment horizontal="center"/>
      <protection/>
    </xf>
    <xf numFmtId="186" fontId="65" fillId="21" borderId="35" xfId="52" applyNumberFormat="1" applyFont="1" applyBorder="1" applyAlignment="1" applyProtection="1">
      <alignment horizontal="left"/>
      <protection/>
    </xf>
    <xf numFmtId="186" fontId="65" fillId="21" borderId="35" xfId="52" applyNumberFormat="1" applyFont="1" applyBorder="1" applyAlignment="1" applyProtection="1">
      <alignment horizontal="center"/>
      <protection/>
    </xf>
    <xf numFmtId="186" fontId="65" fillId="21" borderId="34" xfId="52" applyNumberFormat="1" applyFont="1" applyBorder="1" applyAlignment="1" applyProtection="1">
      <alignment horizontal="center"/>
      <protection/>
    </xf>
    <xf numFmtId="186" fontId="65" fillId="21" borderId="36" xfId="52" applyNumberFormat="1" applyFont="1" applyBorder="1" applyAlignment="1" applyProtection="1">
      <alignment/>
      <protection/>
    </xf>
    <xf numFmtId="186" fontId="65" fillId="21" borderId="38" xfId="52" applyNumberFormat="1" applyFont="1" applyBorder="1" applyAlignment="1" applyProtection="1">
      <alignment horizontal="center"/>
      <protection/>
    </xf>
    <xf numFmtId="186" fontId="65" fillId="21" borderId="37" xfId="52" applyNumberFormat="1" applyFont="1" applyBorder="1" applyAlignment="1" applyProtection="1">
      <alignment horizontal="center"/>
      <protection/>
    </xf>
    <xf numFmtId="186" fontId="67" fillId="21" borderId="13" xfId="52" applyNumberFormat="1" applyFont="1" applyBorder="1" applyAlignment="1" applyProtection="1">
      <alignment/>
      <protection/>
    </xf>
    <xf numFmtId="186" fontId="67" fillId="21" borderId="31" xfId="52" applyNumberFormat="1" applyFont="1" applyBorder="1" applyAlignment="1" applyProtection="1">
      <alignment/>
      <protection/>
    </xf>
    <xf numFmtId="186" fontId="67" fillId="21" borderId="32" xfId="52" applyNumberFormat="1" applyFont="1" applyBorder="1" applyAlignment="1" applyProtection="1">
      <alignment/>
      <protection/>
    </xf>
    <xf numFmtId="3" fontId="67" fillId="21" borderId="33" xfId="52" applyNumberFormat="1" applyFont="1" applyBorder="1" applyAlignment="1" applyProtection="1">
      <alignment horizontal="right"/>
      <protection/>
    </xf>
    <xf numFmtId="4" fontId="67" fillId="21" borderId="35" xfId="52" applyNumberFormat="1" applyFont="1" applyBorder="1" applyAlignment="1" applyProtection="1">
      <alignment horizontal="right"/>
      <protection/>
    </xf>
    <xf numFmtId="204" fontId="67" fillId="21" borderId="38" xfId="52" applyNumberFormat="1" applyFont="1" applyBorder="1" applyAlignment="1" applyProtection="1">
      <alignment horizontal="right"/>
      <protection/>
    </xf>
    <xf numFmtId="204" fontId="67" fillId="21" borderId="33" xfId="52" applyNumberFormat="1" applyFont="1" applyBorder="1" applyAlignment="1" applyProtection="1">
      <alignment horizontal="right"/>
      <protection/>
    </xf>
    <xf numFmtId="204" fontId="67" fillId="21" borderId="35" xfId="52" applyNumberFormat="1" applyFont="1" applyBorder="1" applyAlignment="1" applyProtection="1">
      <alignment horizontal="right"/>
      <protection/>
    </xf>
    <xf numFmtId="211" fontId="67" fillId="21" borderId="35" xfId="52" applyNumberFormat="1" applyFont="1" applyBorder="1" applyAlignment="1" applyProtection="1">
      <alignment horizontal="right"/>
      <protection/>
    </xf>
    <xf numFmtId="3" fontId="67" fillId="21" borderId="32" xfId="52" applyNumberFormat="1" applyFont="1" applyBorder="1" applyAlignment="1" applyProtection="1">
      <alignment horizontal="right"/>
      <protection/>
    </xf>
    <xf numFmtId="212" fontId="67" fillId="21" borderId="38" xfId="52" applyNumberFormat="1" applyFont="1" applyBorder="1" applyAlignment="1" applyProtection="1">
      <alignment horizontal="right"/>
      <protection/>
    </xf>
    <xf numFmtId="212" fontId="67" fillId="21" borderId="37" xfId="52" applyNumberFormat="1" applyFont="1" applyBorder="1" applyAlignment="1" applyProtection="1">
      <alignment horizontal="right"/>
      <protection/>
    </xf>
    <xf numFmtId="3" fontId="67" fillId="21" borderId="35" xfId="52" applyNumberFormat="1" applyFont="1" applyBorder="1" applyAlignment="1" applyProtection="1" quotePrefix="1">
      <alignment horizontal="right"/>
      <protection/>
    </xf>
    <xf numFmtId="3" fontId="46" fillId="0" borderId="0" xfId="51" applyNumberFormat="1" applyFont="1" applyAlignment="1" applyProtection="1">
      <alignment horizontal="center"/>
      <protection/>
    </xf>
    <xf numFmtId="3" fontId="11" fillId="0" borderId="0" xfId="51" applyNumberFormat="1" applyFont="1" applyAlignment="1" applyProtection="1">
      <alignment horizontal="center"/>
      <protection/>
    </xf>
    <xf numFmtId="186" fontId="56" fillId="20" borderId="39" xfId="34" applyNumberFormat="1" applyFont="1" applyBorder="1" applyAlignment="1" applyProtection="1" quotePrefix="1">
      <alignment horizontal="center"/>
      <protection/>
    </xf>
    <xf numFmtId="186" fontId="56" fillId="20" borderId="40" xfId="34" applyNumberFormat="1" applyFont="1" applyBorder="1" applyAlignment="1" applyProtection="1" quotePrefix="1">
      <alignment horizontal="center"/>
      <protection/>
    </xf>
    <xf numFmtId="186" fontId="56" fillId="20" borderId="41" xfId="34" applyNumberFormat="1" applyFont="1" applyBorder="1" applyAlignment="1" applyProtection="1" quotePrefix="1">
      <alignment horizontal="center"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Ark1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5"/>
  <sheetViews>
    <sheetView showGridLines="0" tabSelected="1" zoomScalePageLayoutView="0" workbookViewId="0" topLeftCell="A1">
      <selection activeCell="J16" sqref="J16"/>
    </sheetView>
  </sheetViews>
  <sheetFormatPr defaultColWidth="9.140625" defaultRowHeight="12.75"/>
  <cols>
    <col min="1" max="1" width="3.8515625" style="23" customWidth="1"/>
    <col min="2" max="2" width="4.140625" style="23" customWidth="1"/>
    <col min="3" max="3" width="27.140625" style="23" customWidth="1"/>
    <col min="4" max="4" width="14.140625" style="23" customWidth="1"/>
    <col min="5" max="5" width="15.421875" style="23" customWidth="1"/>
    <col min="6" max="8" width="13.7109375" style="23" customWidth="1"/>
    <col min="9" max="9" width="14.8515625" style="23" customWidth="1"/>
    <col min="10" max="10" width="9.140625" style="23" customWidth="1"/>
    <col min="11" max="11" width="9.57421875" style="23" bestFit="1" customWidth="1"/>
    <col min="12" max="12" width="9.140625" style="23" customWidth="1"/>
    <col min="13" max="13" width="9.7109375" style="23" bestFit="1" customWidth="1"/>
    <col min="14" max="14" width="11.57421875" style="23" customWidth="1"/>
    <col min="15" max="16384" width="9.140625" style="23" customWidth="1"/>
  </cols>
  <sheetData>
    <row r="1" spans="1:50" s="27" customFormat="1" ht="15">
      <c r="A1" s="23"/>
      <c r="B1" s="125" t="str">
        <f>"Selvbudgettering af tilskud og udligning "&amp;aar</f>
        <v>Selvbudgettering af tilskud og udligning 2021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s="27" customFormat="1" ht="14.25">
      <c r="A2" s="23"/>
      <c r="B2" s="126" t="s">
        <v>0</v>
      </c>
      <c r="C2" s="127"/>
      <c r="D2" s="127"/>
      <c r="E2" s="127"/>
      <c r="F2" s="127"/>
      <c r="G2" s="128"/>
      <c r="H2" s="23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s="27" customFormat="1" ht="14.25">
      <c r="A3" s="23"/>
      <c r="B3" s="129"/>
      <c r="C3" s="130" t="s">
        <v>1</v>
      </c>
      <c r="D3" s="131"/>
      <c r="E3" s="131"/>
      <c r="F3" s="121"/>
      <c r="G3" s="132"/>
      <c r="H3" s="2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s="27" customFormat="1" ht="14.25">
      <c r="A4" s="23"/>
      <c r="B4" s="129"/>
      <c r="C4" s="133"/>
      <c r="D4" s="131" t="s">
        <v>0</v>
      </c>
      <c r="E4" s="131"/>
      <c r="F4" s="131"/>
      <c r="G4" s="132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s="27" customFormat="1" ht="14.25">
      <c r="A5" s="23"/>
      <c r="B5" s="129"/>
      <c r="C5" s="130" t="s">
        <v>2</v>
      </c>
      <c r="D5" s="261" t="str">
        <f>IF(OK_P=1,VLOOKUP(knr,Bilagtab1,2),"Ugyldigt kommunenr. ")</f>
        <v>Ugyldigt kommunenr. </v>
      </c>
      <c r="E5" s="262"/>
      <c r="F5" s="263"/>
      <c r="G5" s="132"/>
      <c r="H5" s="23"/>
      <c r="I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 s="27" customFormat="1" ht="14.25">
      <c r="A6" s="23"/>
      <c r="B6" s="129"/>
      <c r="C6" s="130" t="s">
        <v>135</v>
      </c>
      <c r="D6" s="131"/>
      <c r="E6" s="131"/>
      <c r="F6" s="131"/>
      <c r="G6" s="132"/>
      <c r="H6" s="23"/>
      <c r="I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s="27" customFormat="1" ht="14.25">
      <c r="A7" s="23"/>
      <c r="B7" s="129"/>
      <c r="C7" s="131"/>
      <c r="D7" s="131"/>
      <c r="E7" s="131"/>
      <c r="F7" s="131"/>
      <c r="G7" s="132"/>
      <c r="H7" s="23"/>
      <c r="I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s="27" customFormat="1" ht="14.25">
      <c r="A8" s="23"/>
      <c r="B8" s="129"/>
      <c r="C8" s="131"/>
      <c r="D8" s="131"/>
      <c r="E8" s="131"/>
      <c r="F8" s="131"/>
      <c r="G8" s="132"/>
      <c r="H8" s="23"/>
      <c r="I8" s="33"/>
      <c r="M8" s="25"/>
      <c r="N8" s="25"/>
      <c r="O8" s="25"/>
      <c r="P8" s="25"/>
      <c r="Q8" s="25"/>
      <c r="R8" s="25"/>
      <c r="S8" s="25"/>
      <c r="T8" s="25"/>
      <c r="U8" s="2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 s="27" customFormat="1" ht="14.25">
      <c r="A9" s="23"/>
      <c r="B9" s="134"/>
      <c r="C9" s="135"/>
      <c r="D9" s="135"/>
      <c r="E9" s="135"/>
      <c r="F9" s="135"/>
      <c r="G9" s="136"/>
      <c r="H9" s="23"/>
      <c r="I9" s="25"/>
      <c r="M9" s="25"/>
      <c r="N9" s="25"/>
      <c r="O9" s="25"/>
      <c r="P9" s="25"/>
      <c r="Q9" s="25"/>
      <c r="R9" s="25"/>
      <c r="S9" s="25"/>
      <c r="T9" s="25"/>
      <c r="U9" s="2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</row>
    <row r="10" spans="1:50" s="27" customFormat="1" ht="12.75">
      <c r="A10" s="23"/>
      <c r="B10" s="24"/>
      <c r="C10" s="28"/>
      <c r="D10" s="29"/>
      <c r="E10" s="29"/>
      <c r="F10" s="25"/>
      <c r="G10" s="25"/>
      <c r="H10" s="25"/>
      <c r="I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 s="27" customFormat="1" ht="12" customHeight="1">
      <c r="A11" s="23"/>
      <c r="B11" s="125"/>
      <c r="C11" s="125"/>
      <c r="D11" s="137" t="str">
        <f>"Social- og Indenrigsministeriet "</f>
        <v>Social- og Indenrigsministeriet </v>
      </c>
      <c r="E11" s="125"/>
      <c r="F11" s="125"/>
      <c r="G11" s="125"/>
      <c r="H11" s="138"/>
      <c r="I11" s="25"/>
      <c r="J11" s="30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 s="27" customFormat="1" ht="12" customHeight="1">
      <c r="A12" s="23"/>
      <c r="B12" s="125"/>
      <c r="C12" s="125"/>
      <c r="D12" s="137" t="str">
        <f>"Selvbudgettering af tilskud og udligning "&amp;aar</f>
        <v>Selvbudgettering af tilskud og udligning 2021</v>
      </c>
      <c r="E12" s="125"/>
      <c r="F12" s="125"/>
      <c r="G12" s="125"/>
      <c r="H12" s="138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0" s="27" customFormat="1" ht="12" customHeight="1">
      <c r="A13" s="23"/>
      <c r="B13" s="125"/>
      <c r="C13" s="125"/>
      <c r="D13" s="137" t="str">
        <f>"for  ("&amp;TEXT(knr,0)&amp;")  "&amp;$D$5</f>
        <v>for  (0)  Ugyldigt kommunenr. </v>
      </c>
      <c r="E13" s="125"/>
      <c r="F13" s="125"/>
      <c r="G13" s="125"/>
      <c r="H13" s="13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s="27" customFormat="1" ht="12" customHeight="1">
      <c r="A14" s="23"/>
      <c r="B14" s="125"/>
      <c r="C14" s="125"/>
      <c r="D14" s="137"/>
      <c r="E14" s="125"/>
      <c r="F14" s="125"/>
      <c r="G14" s="125"/>
      <c r="H14" s="138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s="27" customFormat="1" ht="12" customHeight="1">
      <c r="A15" s="23"/>
      <c r="B15" s="125"/>
      <c r="C15" s="125"/>
      <c r="D15" s="137" t="s">
        <v>166</v>
      </c>
      <c r="E15" s="125"/>
      <c r="F15" s="125"/>
      <c r="G15" s="125"/>
      <c r="H15" s="138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 s="27" customFormat="1" ht="12" customHeight="1">
      <c r="A16" s="23"/>
      <c r="B16" s="125"/>
      <c r="C16" s="125"/>
      <c r="D16" s="137" t="s">
        <v>167</v>
      </c>
      <c r="E16" s="125"/>
      <c r="F16" s="125"/>
      <c r="G16" s="125"/>
      <c r="H16" s="138"/>
      <c r="I16" s="25"/>
      <c r="J16" s="25"/>
      <c r="K16" s="25"/>
      <c r="L16" s="23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0" s="27" customFormat="1" ht="12.75" customHeight="1">
      <c r="A17" s="23"/>
      <c r="B17" s="125"/>
      <c r="C17" s="125"/>
      <c r="D17" s="137" t="s">
        <v>168</v>
      </c>
      <c r="E17" s="125"/>
      <c r="F17" s="125"/>
      <c r="G17" s="125"/>
      <c r="H17" s="138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 s="27" customFormat="1" ht="12.75" customHeight="1">
      <c r="A18" s="23"/>
      <c r="B18" s="94"/>
      <c r="C18" s="95"/>
      <c r="D18" s="95"/>
      <c r="E18" s="96"/>
      <c r="F18" s="97"/>
      <c r="G18" s="96"/>
      <c r="H18" s="31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 s="27" customFormat="1" ht="12.75" customHeight="1">
      <c r="A19" s="23"/>
      <c r="B19" s="94"/>
      <c r="C19" s="95"/>
      <c r="D19" s="95"/>
      <c r="E19" s="96"/>
      <c r="F19" s="97"/>
      <c r="G19" s="98"/>
      <c r="H19" s="5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 s="27" customFormat="1" ht="12.75" customHeight="1">
      <c r="A20" s="23"/>
      <c r="B20" s="94"/>
      <c r="C20" s="95"/>
      <c r="D20" s="95"/>
      <c r="E20" s="96"/>
      <c r="F20" s="97"/>
      <c r="G20" s="96"/>
      <c r="H20" s="31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s="27" customFormat="1" ht="12.75" customHeight="1">
      <c r="A21" s="23"/>
      <c r="B21" s="125" t="str">
        <f>"Tabel 1:  Budgetteringsforudsætninger  ("&amp;TEXT(knr,0)&amp;")  "&amp;$D$5</f>
        <v>Tabel 1:  Budgetteringsforudsætninger  (0)  Ugyldigt kommunenr. </v>
      </c>
      <c r="C21" s="99"/>
      <c r="D21" s="99"/>
      <c r="E21" s="99"/>
      <c r="F21" s="99"/>
      <c r="G21" s="100"/>
      <c r="H21" s="55"/>
      <c r="I21" s="55"/>
      <c r="J21" s="5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 s="27" customFormat="1" ht="12.75">
      <c r="A22" s="23"/>
      <c r="B22" s="139"/>
      <c r="C22" s="140"/>
      <c r="D22" s="140"/>
      <c r="E22" s="141"/>
      <c r="F22" s="142" t="s">
        <v>3</v>
      </c>
      <c r="G22" s="23"/>
      <c r="H22" s="54"/>
      <c r="I22" s="55"/>
      <c r="J22" s="81"/>
      <c r="K22" s="23"/>
      <c r="L22" s="23"/>
      <c r="M22" s="23"/>
      <c r="N22" s="23"/>
      <c r="O22" s="25"/>
      <c r="P22" s="25"/>
      <c r="Q22" s="25"/>
      <c r="R22" s="25"/>
      <c r="S22" s="25"/>
      <c r="T22" s="25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 s="27" customFormat="1" ht="12.75">
      <c r="A23" s="23"/>
      <c r="B23" s="143"/>
      <c r="C23" s="144"/>
      <c r="D23" s="144"/>
      <c r="E23" s="145"/>
      <c r="F23" s="146" t="s">
        <v>4</v>
      </c>
      <c r="G23" s="23"/>
      <c r="H23" s="54"/>
      <c r="I23" s="55"/>
      <c r="J23" s="81"/>
      <c r="K23" s="23"/>
      <c r="L23" s="23"/>
      <c r="M23" s="23"/>
      <c r="N23" s="23"/>
      <c r="O23" s="25"/>
      <c r="P23" s="25"/>
      <c r="Q23" s="25"/>
      <c r="R23" s="25"/>
      <c r="S23" s="25"/>
      <c r="T23" s="25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 s="27" customFormat="1" ht="13.5">
      <c r="A24" s="23"/>
      <c r="B24" s="147" t="str">
        <f>"1.01 Indkomstskat  "&amp;aar</f>
        <v>1.01 Indkomstskat  2021</v>
      </c>
      <c r="C24" s="148"/>
      <c r="D24" s="148"/>
      <c r="E24" s="149"/>
      <c r="F24" s="122"/>
      <c r="G24" s="57"/>
      <c r="J24" s="82"/>
      <c r="K24" s="150"/>
      <c r="L24" s="150"/>
      <c r="M24" s="150"/>
      <c r="N24" s="23"/>
      <c r="O24" s="25"/>
      <c r="P24" s="25"/>
      <c r="Q24" s="25"/>
      <c r="R24" s="25"/>
      <c r="S24" s="25"/>
      <c r="T24" s="25"/>
      <c r="U24" s="2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s="27" customFormat="1" ht="12.75" customHeight="1">
      <c r="A25" s="23"/>
      <c r="B25" s="151" t="str">
        <f>"1.02 Udskrivningsprocent "&amp;aar&amp;"     (xx,x)"</f>
        <v>1.02 Udskrivningsprocent 2021     (xx,x)</v>
      </c>
      <c r="C25" s="152"/>
      <c r="D25" s="152"/>
      <c r="E25" s="153"/>
      <c r="F25" s="123"/>
      <c r="G25" s="57"/>
      <c r="J25" s="82"/>
      <c r="K25" s="23"/>
      <c r="L25" s="23"/>
      <c r="M25" s="23"/>
      <c r="N25" s="23"/>
      <c r="O25" s="25"/>
      <c r="P25" s="25"/>
      <c r="Q25" s="25"/>
      <c r="R25" s="25"/>
      <c r="S25" s="25"/>
      <c r="T25" s="25"/>
      <c r="U25" s="25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pans="1:50" s="27" customFormat="1" ht="13.5">
      <c r="A26" s="23"/>
      <c r="B26" s="151" t="str">
        <f>"1.03 Grundværdier vedr. øvrige ejendomme "&amp;aar</f>
        <v>1.03 Grundværdier vedr. øvrige ejendomme 2021</v>
      </c>
      <c r="C26" s="152"/>
      <c r="D26" s="152"/>
      <c r="E26" s="153"/>
      <c r="F26" s="122"/>
      <c r="G26" s="57"/>
      <c r="J26" s="82"/>
      <c r="K26" s="150"/>
      <c r="L26" s="150"/>
      <c r="M26" s="150"/>
      <c r="N26" s="23"/>
      <c r="O26" s="25"/>
      <c r="P26" s="25"/>
      <c r="Q26" s="25"/>
      <c r="R26" s="25"/>
      <c r="S26" s="25"/>
      <c r="T26" s="25"/>
      <c r="U26" s="25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 s="27" customFormat="1" ht="13.5">
      <c r="A27" s="23"/>
      <c r="B27" s="151" t="str">
        <f>"1.04 Grundværdier vedr. produktionsjord "&amp;aar</f>
        <v>1.04 Grundværdier vedr. produktionsjord 2021</v>
      </c>
      <c r="C27" s="152"/>
      <c r="D27" s="152"/>
      <c r="E27" s="153"/>
      <c r="F27" s="122"/>
      <c r="G27" s="57"/>
      <c r="J27" s="82"/>
      <c r="K27" s="150"/>
      <c r="L27" s="150"/>
      <c r="M27" s="150"/>
      <c r="N27" s="23"/>
      <c r="O27" s="25"/>
      <c r="P27" s="25"/>
      <c r="Q27" s="25"/>
      <c r="R27" s="25"/>
      <c r="S27" s="25"/>
      <c r="T27" s="25"/>
      <c r="U27" s="25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 s="27" customFormat="1" ht="12.75" customHeight="1">
      <c r="A28" s="23"/>
      <c r="B28" s="154" t="str">
        <f>"1.05 Skønnet folketal pr. 1. januar "&amp;aar</f>
        <v>1.05 Skønnet folketal pr. 1. januar 2021</v>
      </c>
      <c r="C28" s="155"/>
      <c r="D28" s="155"/>
      <c r="E28" s="156"/>
      <c r="F28" s="124"/>
      <c r="G28" s="57"/>
      <c r="J28" s="82"/>
      <c r="K28" s="23"/>
      <c r="L28" s="23"/>
      <c r="M28" s="23"/>
      <c r="N28" s="23"/>
      <c r="O28" s="25"/>
      <c r="P28" s="25"/>
      <c r="Q28" s="25"/>
      <c r="R28" s="25"/>
      <c r="S28" s="25"/>
      <c r="T28" s="25"/>
      <c r="U28" s="25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s="27" customFormat="1" ht="12.75" customHeight="1">
      <c r="A29" s="23"/>
      <c r="B29" s="104" t="s">
        <v>387</v>
      </c>
      <c r="C29" s="25"/>
      <c r="D29" s="25"/>
      <c r="E29" s="25"/>
      <c r="F29" s="58"/>
      <c r="G29" s="5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 s="27" customFormat="1" ht="12.75" customHeight="1">
      <c r="A30" s="23"/>
      <c r="B30" s="28"/>
      <c r="C30" s="25"/>
      <c r="D30" s="25"/>
      <c r="E30" s="25"/>
      <c r="F30" s="58"/>
      <c r="G30" s="157" t="s">
        <v>134</v>
      </c>
      <c r="H30" s="158"/>
      <c r="I30" s="54"/>
      <c r="J30" s="5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1:50" s="27" customFormat="1" ht="12.75" customHeight="1">
      <c r="A31" s="23"/>
      <c r="B31" s="28"/>
      <c r="C31" s="25"/>
      <c r="D31" s="25"/>
      <c r="E31" s="25"/>
      <c r="F31" s="58"/>
      <c r="G31" s="159" t="s">
        <v>169</v>
      </c>
      <c r="H31" s="160"/>
      <c r="I31" s="54"/>
      <c r="J31" s="5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</row>
    <row r="32" spans="1:50" s="27" customFormat="1" ht="12.75" customHeight="1">
      <c r="A32" s="23"/>
      <c r="B32" s="24"/>
      <c r="C32" s="25"/>
      <c r="D32" s="25"/>
      <c r="E32" s="25"/>
      <c r="F32" s="58"/>
      <c r="G32" s="159" t="s">
        <v>388</v>
      </c>
      <c r="H32" s="160"/>
      <c r="I32" s="54"/>
      <c r="J32" s="5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1:50" s="27" customFormat="1" ht="12.75" customHeight="1">
      <c r="A33" s="23"/>
      <c r="B33" s="24"/>
      <c r="C33" s="25"/>
      <c r="D33" s="25"/>
      <c r="E33" s="25"/>
      <c r="F33" s="33"/>
      <c r="G33" s="159" t="s">
        <v>133</v>
      </c>
      <c r="H33" s="160"/>
      <c r="I33" s="54"/>
      <c r="J33" s="5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 s="27" customFormat="1" ht="12.75" customHeight="1">
      <c r="A34" s="23"/>
      <c r="B34" s="24"/>
      <c r="C34" s="25"/>
      <c r="D34" s="25"/>
      <c r="E34" s="25"/>
      <c r="F34" s="33"/>
      <c r="G34" s="159" t="s">
        <v>165</v>
      </c>
      <c r="H34" s="160"/>
      <c r="I34" s="23"/>
      <c r="J34" s="23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</row>
    <row r="35" spans="1:50" s="27" customFormat="1" ht="12.75" customHeight="1">
      <c r="A35" s="23"/>
      <c r="B35" s="24"/>
      <c r="C35" s="25"/>
      <c r="D35" s="25"/>
      <c r="E35" s="25"/>
      <c r="F35" s="33"/>
      <c r="G35" s="161" t="str">
        <f>+"ningen for "&amp;aar</f>
        <v>ningen for 2021</v>
      </c>
      <c r="H35" s="162"/>
      <c r="I35" s="23"/>
      <c r="J35" s="23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</row>
    <row r="36" spans="1:50" s="27" customFormat="1" ht="12.75" customHeight="1">
      <c r="A36" s="23"/>
      <c r="B36" s="24"/>
      <c r="C36" s="25"/>
      <c r="D36" s="25"/>
      <c r="E36" s="25"/>
      <c r="F36" s="33"/>
      <c r="G36" s="23"/>
      <c r="H36" s="23"/>
      <c r="I36" s="23"/>
      <c r="J36" s="23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50" s="27" customFormat="1" ht="15">
      <c r="A37" s="23"/>
      <c r="B37" s="125" t="str">
        <f>"Tabel 2: Selvbudgetterede udligningsbeløb vedr. "&amp;aar</f>
        <v>Tabel 2: Selvbudgetterede udligningsbeløb vedr. 2021</v>
      </c>
      <c r="C37" s="25"/>
      <c r="D37" s="25"/>
      <c r="E37" s="25"/>
      <c r="F37" s="33"/>
      <c r="G37" s="33"/>
      <c r="H37" s="33"/>
      <c r="I37" s="23"/>
      <c r="J37" s="23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1:50" s="27" customFormat="1" ht="12.75">
      <c r="A38" s="23"/>
      <c r="B38" s="163"/>
      <c r="C38" s="164"/>
      <c r="D38" s="164"/>
      <c r="E38" s="165"/>
      <c r="F38" s="166" t="s">
        <v>3</v>
      </c>
      <c r="G38" s="166" t="s">
        <v>5</v>
      </c>
      <c r="H38" s="166" t="s">
        <v>6</v>
      </c>
      <c r="I38" s="23"/>
      <c r="J38" s="23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1:50" s="27" customFormat="1" ht="12.75">
      <c r="A39" s="23"/>
      <c r="B39" s="167"/>
      <c r="C39" s="168" t="s">
        <v>7</v>
      </c>
      <c r="D39" s="168"/>
      <c r="E39" s="169"/>
      <c r="F39" s="170" t="s">
        <v>4</v>
      </c>
      <c r="G39" s="170" t="s">
        <v>8</v>
      </c>
      <c r="H39" s="170" t="s">
        <v>9</v>
      </c>
      <c r="I39" s="23"/>
      <c r="J39" s="23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50" s="27" customFormat="1" ht="18.75" customHeight="1">
      <c r="A40" s="23"/>
      <c r="B40" s="171"/>
      <c r="C40" s="172"/>
      <c r="D40" s="172"/>
      <c r="E40" s="173"/>
      <c r="F40" s="174" t="s">
        <v>10</v>
      </c>
      <c r="G40" s="174" t="s">
        <v>11</v>
      </c>
      <c r="H40" s="174" t="s">
        <v>12</v>
      </c>
      <c r="I40" s="23"/>
      <c r="J40" s="23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50" s="48" customFormat="1" ht="12.75" customHeight="1">
      <c r="A41" s="49"/>
      <c r="B41" s="43"/>
      <c r="C41" s="43"/>
      <c r="D41" s="43"/>
      <c r="E41" s="43"/>
      <c r="F41" s="51"/>
      <c r="G41" s="51"/>
      <c r="H41" s="51"/>
      <c r="I41" s="49"/>
      <c r="J41" s="4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s="27" customFormat="1" ht="15">
      <c r="A42" s="23"/>
      <c r="B42" s="101" t="s">
        <v>141</v>
      </c>
      <c r="C42" s="43"/>
      <c r="D42" s="43"/>
      <c r="E42" s="43"/>
      <c r="F42" s="44"/>
      <c r="G42" s="44"/>
      <c r="H42" s="44"/>
      <c r="I42" s="23"/>
      <c r="J42" s="2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 s="27" customFormat="1" ht="13.5">
      <c r="A43" s="23"/>
      <c r="B43" s="175"/>
      <c r="C43" s="176" t="s">
        <v>358</v>
      </c>
      <c r="D43" s="176"/>
      <c r="E43" s="177"/>
      <c r="F43" s="178" t="str">
        <f>IF(ok_pp=1,+G195," ")</f>
        <v> </v>
      </c>
      <c r="G43" s="179" t="str">
        <f>IF(OK_P=1,+H195,"---------- ")</f>
        <v>---------- </v>
      </c>
      <c r="H43" s="180" t="str">
        <f aca="true" t="shared" si="0" ref="H43:H49">IF(ok_pp=1,+F43-G43," ")</f>
        <v> </v>
      </c>
      <c r="I43" s="23"/>
      <c r="J43" s="2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50" s="27" customFormat="1" ht="13.5">
      <c r="A44" s="23"/>
      <c r="B44" s="181"/>
      <c r="C44" s="182" t="s">
        <v>359</v>
      </c>
      <c r="D44" s="182"/>
      <c r="E44" s="183"/>
      <c r="F44" s="184" t="str">
        <f>IF(ok_pp=1,+G211," ")</f>
        <v> </v>
      </c>
      <c r="G44" s="185" t="str">
        <f>IF(OK_P=1,+H211,"---------- ")</f>
        <v>---------- </v>
      </c>
      <c r="H44" s="186" t="str">
        <f t="shared" si="0"/>
        <v> </v>
      </c>
      <c r="I44" s="23"/>
      <c r="J44" s="2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0" s="27" customFormat="1" ht="13.5">
      <c r="A45" s="23"/>
      <c r="B45" s="181"/>
      <c r="C45" s="182" t="s">
        <v>360</v>
      </c>
      <c r="D45" s="182"/>
      <c r="E45" s="183"/>
      <c r="F45" s="184" t="str">
        <f>IF(ok_pp=1,+G227," ")</f>
        <v> </v>
      </c>
      <c r="G45" s="185" t="str">
        <f>IF(OK_P=1,+H227,"---------- ")</f>
        <v>---------- </v>
      </c>
      <c r="H45" s="186" t="str">
        <f t="shared" si="0"/>
        <v> </v>
      </c>
      <c r="I45" s="23"/>
      <c r="J45" s="23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 s="27" customFormat="1" ht="13.5">
      <c r="A46" s="23"/>
      <c r="B46" s="181"/>
      <c r="C46" s="182" t="s">
        <v>361</v>
      </c>
      <c r="D46" s="182"/>
      <c r="E46" s="183"/>
      <c r="F46" s="184" t="str">
        <f>IF(ok_pp=1,+G283," ")</f>
        <v> </v>
      </c>
      <c r="G46" s="185" t="str">
        <f>IF(OK_P=1,+H283,"---------- ")</f>
        <v>---------- </v>
      </c>
      <c r="H46" s="186" t="str">
        <f t="shared" si="0"/>
        <v> </v>
      </c>
      <c r="I46" s="23"/>
      <c r="J46" s="2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 s="27" customFormat="1" ht="13.5">
      <c r="A47" s="23"/>
      <c r="B47" s="181"/>
      <c r="C47" s="182" t="s">
        <v>362</v>
      </c>
      <c r="D47" s="182"/>
      <c r="E47" s="183"/>
      <c r="F47" s="184" t="str">
        <f>IF(ok_pp=1,+G282," ")</f>
        <v> </v>
      </c>
      <c r="G47" s="185" t="str">
        <f>IF(OK_P=1,+H282,"---------- ")</f>
        <v>---------- </v>
      </c>
      <c r="H47" s="186" t="str">
        <f t="shared" si="0"/>
        <v> </v>
      </c>
      <c r="I47" s="23"/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 s="27" customFormat="1" ht="13.5">
      <c r="A48" s="23"/>
      <c r="B48" s="181"/>
      <c r="C48" s="182" t="s">
        <v>363</v>
      </c>
      <c r="D48" s="182"/>
      <c r="E48" s="183"/>
      <c r="F48" s="184" t="str">
        <f>IF(ok_pp=1,+G242," ")</f>
        <v> </v>
      </c>
      <c r="G48" s="185" t="str">
        <f>IF(OK_P=1,+H242,"---------- ")</f>
        <v>---------- </v>
      </c>
      <c r="H48" s="186" t="str">
        <f t="shared" si="0"/>
        <v> </v>
      </c>
      <c r="I48" s="23"/>
      <c r="J48" s="23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50" s="27" customFormat="1" ht="13.5">
      <c r="A49" s="23"/>
      <c r="B49" s="181"/>
      <c r="C49" s="182" t="s">
        <v>426</v>
      </c>
      <c r="D49" s="182"/>
      <c r="E49" s="183"/>
      <c r="F49" s="258" t="str">
        <f>IF(ok_pp=1,+G257," ")</f>
        <v> </v>
      </c>
      <c r="G49" s="258" t="str">
        <f>IF(OK_P=1,+H257,"---------- ")</f>
        <v>---------- </v>
      </c>
      <c r="H49" s="186" t="str">
        <f t="shared" si="0"/>
        <v> </v>
      </c>
      <c r="I49" s="23"/>
      <c r="J49" s="23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 s="27" customFormat="1" ht="13.5">
      <c r="A50" s="23"/>
      <c r="B50" s="187"/>
      <c r="C50" s="188" t="s">
        <v>364</v>
      </c>
      <c r="D50" s="188"/>
      <c r="E50" s="189"/>
      <c r="F50" s="190" t="str">
        <f>IF(ok_pp=1,+G284," ")</f>
        <v> </v>
      </c>
      <c r="G50" s="191" t="str">
        <f>IF(OK_P=1,+H284,"---------- ")</f>
        <v>---------- </v>
      </c>
      <c r="H50" s="192" t="str">
        <f>IF(ok_pp=1,+F50-G50," ")</f>
        <v> </v>
      </c>
      <c r="I50" s="23"/>
      <c r="J50" s="23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50" s="27" customFormat="1" ht="12.75" customHeight="1">
      <c r="A51" s="23"/>
      <c r="B51" s="34"/>
      <c r="C51" s="35"/>
      <c r="D51" s="35"/>
      <c r="E51" s="35"/>
      <c r="F51" s="41"/>
      <c r="G51" s="41"/>
      <c r="H51" s="41"/>
      <c r="I51" s="23"/>
      <c r="J51" s="23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 s="27" customFormat="1" ht="12.75" customHeight="1">
      <c r="A52" s="23"/>
      <c r="B52" s="102" t="s">
        <v>140</v>
      </c>
      <c r="C52" s="35"/>
      <c r="D52" s="35"/>
      <c r="E52" s="35"/>
      <c r="F52" s="41"/>
      <c r="G52" s="41"/>
      <c r="H52" s="41"/>
      <c r="I52" s="23"/>
      <c r="J52" s="2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 s="27" customFormat="1" ht="13.5">
      <c r="A53" s="23"/>
      <c r="B53" s="175"/>
      <c r="C53" s="176" t="s">
        <v>365</v>
      </c>
      <c r="D53" s="176"/>
      <c r="E53" s="177"/>
      <c r="F53" s="193" t="str">
        <f>IF(ok_pp=1,+G278," ")</f>
        <v> </v>
      </c>
      <c r="G53" s="179" t="str">
        <f>IF(OK_P=1,+H278,"---------- ")</f>
        <v>---------- </v>
      </c>
      <c r="H53" s="179" t="str">
        <f>IF(ok_pp=1,+F53-G53," ")</f>
        <v> </v>
      </c>
      <c r="I53" s="23"/>
      <c r="J53" s="23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 s="27" customFormat="1" ht="13.5">
      <c r="A54" s="23"/>
      <c r="B54" s="181"/>
      <c r="C54" s="182" t="s">
        <v>366</v>
      </c>
      <c r="D54" s="182"/>
      <c r="E54" s="183"/>
      <c r="F54" s="194" t="str">
        <f>IF(ok_pp=1,+G279," ")</f>
        <v> </v>
      </c>
      <c r="G54" s="185" t="str">
        <f>IF(OK_P=1,+H279,"---------- ")</f>
        <v>---------- </v>
      </c>
      <c r="H54" s="185" t="str">
        <f>IF(ok_pp=1,+F54-G54," ")</f>
        <v> </v>
      </c>
      <c r="I54" s="23"/>
      <c r="J54" s="23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 s="27" customFormat="1" ht="13.5">
      <c r="A55" s="23"/>
      <c r="B55" s="187"/>
      <c r="C55" s="188" t="s">
        <v>367</v>
      </c>
      <c r="D55" s="188"/>
      <c r="E55" s="189"/>
      <c r="F55" s="195" t="str">
        <f>IF(ok_pp=1,+G280," ")</f>
        <v> </v>
      </c>
      <c r="G55" s="191" t="str">
        <f>IF(OK_P=1,+H280,"---------- ")</f>
        <v>---------- </v>
      </c>
      <c r="H55" s="191" t="str">
        <f>IF(ok_pp=1,+F55-G55," ")</f>
        <v> </v>
      </c>
      <c r="I55" s="23"/>
      <c r="J55" s="2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 s="27" customFormat="1" ht="12.75" customHeight="1">
      <c r="A56" s="23"/>
      <c r="B56" s="34"/>
      <c r="C56" s="34"/>
      <c r="D56" s="34"/>
      <c r="E56" s="34"/>
      <c r="F56" s="40"/>
      <c r="G56" s="41"/>
      <c r="H56" s="40"/>
      <c r="I56" s="23"/>
      <c r="J56" s="23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 s="27" customFormat="1" ht="15">
      <c r="A57" s="23"/>
      <c r="B57" s="102" t="s">
        <v>368</v>
      </c>
      <c r="C57" s="52"/>
      <c r="D57" s="52"/>
      <c r="E57" s="52"/>
      <c r="F57" s="44"/>
      <c r="G57" s="44"/>
      <c r="H57" s="44"/>
      <c r="I57" s="23"/>
      <c r="J57" s="2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 s="27" customFormat="1" ht="13.5">
      <c r="A58" s="23"/>
      <c r="B58" s="196"/>
      <c r="C58" s="197" t="s">
        <v>369</v>
      </c>
      <c r="D58" s="197"/>
      <c r="E58" s="198"/>
      <c r="F58" s="199" t="str">
        <f>IF(ok_pp=1,+G281," ")</f>
        <v> </v>
      </c>
      <c r="G58" s="200" t="str">
        <f>IF(OK_P=1,+H281,"---------- ")</f>
        <v>---------- </v>
      </c>
      <c r="H58" s="201" t="str">
        <f>IF(ok_pp=1,+F58-G58," ")</f>
        <v> </v>
      </c>
      <c r="I58" s="23"/>
      <c r="J58" s="2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</row>
    <row r="59" spans="1:50" s="27" customFormat="1" ht="12.75" customHeight="1">
      <c r="A59" s="23"/>
      <c r="B59" s="34"/>
      <c r="C59" s="34"/>
      <c r="D59" s="34"/>
      <c r="E59" s="34"/>
      <c r="F59" s="40"/>
      <c r="G59" s="41"/>
      <c r="H59" s="40"/>
      <c r="I59" s="23"/>
      <c r="J59" s="2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 s="27" customFormat="1" ht="13.5">
      <c r="A60" s="23"/>
      <c r="B60" s="196" t="s">
        <v>96</v>
      </c>
      <c r="C60" s="202"/>
      <c r="D60" s="202"/>
      <c r="E60" s="203"/>
      <c r="F60" s="204" t="str">
        <f>IF(ok_pp=1,SUM(F43:F58)," ")</f>
        <v> </v>
      </c>
      <c r="G60" s="205" t="str">
        <f>IF(OK_P=1,SUM(G43:G58)," ---------- ")</f>
        <v> ---------- </v>
      </c>
      <c r="H60" s="206" t="str">
        <f>IF(ok_pp=1,SUM(H43:H59)," ")</f>
        <v> </v>
      </c>
      <c r="I60" s="23"/>
      <c r="J60" s="2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 s="27" customFormat="1" ht="12" customHeight="1">
      <c r="A61" s="23"/>
      <c r="B61" s="34"/>
      <c r="C61" s="34"/>
      <c r="D61" s="34"/>
      <c r="E61" s="34"/>
      <c r="F61" s="34"/>
      <c r="G61" s="34"/>
      <c r="H61" s="34"/>
      <c r="I61" s="23"/>
      <c r="J61" s="23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 s="27" customFormat="1" ht="12" customHeight="1">
      <c r="A62" s="23"/>
      <c r="B62" s="207"/>
      <c r="C62" s="208"/>
      <c r="D62" s="208"/>
      <c r="E62" s="208"/>
      <c r="F62" s="208"/>
      <c r="G62" s="208"/>
      <c r="H62" s="208"/>
      <c r="I62" s="23"/>
      <c r="J62" s="23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0" s="27" customFormat="1" ht="12" customHeight="1">
      <c r="A63" s="23"/>
      <c r="B63" s="260"/>
      <c r="C63" s="260"/>
      <c r="D63" s="260"/>
      <c r="E63" s="260"/>
      <c r="F63" s="260"/>
      <c r="G63" s="260"/>
      <c r="H63" s="260"/>
      <c r="I63" s="23"/>
      <c r="J63" s="23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0" s="27" customFormat="1" ht="12" customHeight="1">
      <c r="A64" s="23"/>
      <c r="B64" s="125" t="str">
        <f>"TABEL 3: Konteringsoversigt (del I)  for:   ("&amp;TEXT(knr,0)&amp;")  "&amp;$D$5</f>
        <v>TABEL 3: Konteringsoversigt (del I)  for:   (0)  Ugyldigt kommunenr. </v>
      </c>
      <c r="C64" s="25"/>
      <c r="D64" s="25"/>
      <c r="E64" s="25"/>
      <c r="F64" s="33"/>
      <c r="G64" s="33"/>
      <c r="H64" s="33"/>
      <c r="I64" s="23"/>
      <c r="J64" s="23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1:50" s="27" customFormat="1" ht="6.75" customHeight="1">
      <c r="A65" s="23"/>
      <c r="B65" s="125"/>
      <c r="C65" s="25"/>
      <c r="D65" s="25"/>
      <c r="E65" s="25"/>
      <c r="F65" s="33"/>
      <c r="G65" s="33"/>
      <c r="H65" s="33"/>
      <c r="I65" s="23"/>
      <c r="J65" s="23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1:50" s="27" customFormat="1" ht="12.75" customHeight="1">
      <c r="A66" s="23"/>
      <c r="B66" s="163"/>
      <c r="C66" s="164"/>
      <c r="D66" s="164"/>
      <c r="E66" s="164"/>
      <c r="F66" s="166" t="s">
        <v>3</v>
      </c>
      <c r="G66" s="166" t="s">
        <v>5</v>
      </c>
      <c r="H66" s="165" t="s">
        <v>6</v>
      </c>
      <c r="I66" s="23"/>
      <c r="J66" s="23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1:50" s="27" customFormat="1" ht="12.75" customHeight="1">
      <c r="A67" s="23"/>
      <c r="B67" s="167"/>
      <c r="C67" s="168" t="s">
        <v>7</v>
      </c>
      <c r="D67" s="168"/>
      <c r="E67" s="168"/>
      <c r="F67" s="170" t="s">
        <v>4</v>
      </c>
      <c r="G67" s="170" t="s">
        <v>8</v>
      </c>
      <c r="H67" s="169" t="s">
        <v>9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</row>
    <row r="68" spans="1:50" s="27" customFormat="1" ht="18.75" customHeight="1">
      <c r="A68" s="23"/>
      <c r="B68" s="167"/>
      <c r="C68" s="168"/>
      <c r="D68" s="168"/>
      <c r="E68" s="168"/>
      <c r="F68" s="170" t="s">
        <v>10</v>
      </c>
      <c r="G68" s="170" t="s">
        <v>11</v>
      </c>
      <c r="H68" s="169" t="s">
        <v>12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1:50" s="27" customFormat="1" ht="6" customHeight="1">
      <c r="A69" s="23"/>
      <c r="B69" s="171"/>
      <c r="C69" s="172"/>
      <c r="D69" s="172"/>
      <c r="E69" s="172"/>
      <c r="F69" s="174"/>
      <c r="G69" s="174"/>
      <c r="H69" s="17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:50" s="27" customFormat="1" ht="12.75" customHeight="1">
      <c r="A70" s="23"/>
      <c r="B70" s="209" t="s">
        <v>141</v>
      </c>
      <c r="C70" s="210"/>
      <c r="D70" s="210"/>
      <c r="E70" s="211"/>
      <c r="F70" s="212" t="str">
        <f>IF(ok_pp=1,SUM(F71:F80)," ")</f>
        <v> </v>
      </c>
      <c r="G70" s="212" t="str">
        <f>IF(OK_P=1,SUM(G71:G80),"---------- ")</f>
        <v>---------- </v>
      </c>
      <c r="H70" s="212" t="str">
        <f>IF(ok_pp=1,+F70-G70," ")</f>
        <v> 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 s="27" customFormat="1" ht="12.75" customHeight="1">
      <c r="A71" s="23"/>
      <c r="B71" s="213"/>
      <c r="C71" s="182" t="s">
        <v>358</v>
      </c>
      <c r="D71" s="182"/>
      <c r="E71" s="214"/>
      <c r="F71" s="215" t="str">
        <f>IF(ok_pp=1,+G195," ")</f>
        <v> </v>
      </c>
      <c r="G71" s="215" t="str">
        <f>IF(OK_P=1,+H195,"---------- ")</f>
        <v>---------- </v>
      </c>
      <c r="H71" s="215" t="str">
        <f aca="true" t="shared" si="1" ref="H71:H80">IF(ok_pp=1,+F71-G71," ")</f>
        <v> 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 s="27" customFormat="1" ht="12.75" customHeight="1">
      <c r="A72" s="23"/>
      <c r="B72" s="213"/>
      <c r="C72" s="182" t="s">
        <v>359</v>
      </c>
      <c r="D72" s="182"/>
      <c r="E72" s="214"/>
      <c r="F72" s="215" t="str">
        <f>IF(ok_pp=1,+G211," ")</f>
        <v> </v>
      </c>
      <c r="G72" s="215" t="str">
        <f>IF(OK_P=1,+H211,"---------- ")</f>
        <v>---------- </v>
      </c>
      <c r="H72" s="215" t="str">
        <f t="shared" si="1"/>
        <v> 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 s="27" customFormat="1" ht="12.75" customHeight="1">
      <c r="A73" s="23"/>
      <c r="B73" s="213"/>
      <c r="C73" s="182" t="s">
        <v>360</v>
      </c>
      <c r="D73" s="182"/>
      <c r="E73" s="214"/>
      <c r="F73" s="215" t="str">
        <f>IF(ok_pp=1,+G227," ")</f>
        <v> </v>
      </c>
      <c r="G73" s="215" t="str">
        <f>IF(OK_P=1,+H227,"---------- ")</f>
        <v>---------- </v>
      </c>
      <c r="H73" s="215" t="str">
        <f t="shared" si="1"/>
        <v> 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</row>
    <row r="74" spans="1:50" s="27" customFormat="1" ht="12.75" customHeight="1">
      <c r="A74" s="23"/>
      <c r="B74" s="213"/>
      <c r="C74" s="182" t="s">
        <v>361</v>
      </c>
      <c r="D74" s="182"/>
      <c r="E74" s="214"/>
      <c r="F74" s="215" t="str">
        <f>IF(ok_pp=1,+G283," ")</f>
        <v> </v>
      </c>
      <c r="G74" s="215" t="str">
        <f>IF(OK_P=1,+H283,"---------- ")</f>
        <v>---------- </v>
      </c>
      <c r="H74" s="215" t="str">
        <f t="shared" si="1"/>
        <v> 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1:50" s="27" customFormat="1" ht="12.75" customHeight="1">
      <c r="A75" s="23"/>
      <c r="B75" s="213"/>
      <c r="C75" s="182" t="s">
        <v>370</v>
      </c>
      <c r="D75" s="182"/>
      <c r="E75" s="214"/>
      <c r="F75" s="215" t="str">
        <f>IF(ok_pp=1,VLOOKUP(knr,Bilagtab1,7)," ")</f>
        <v> </v>
      </c>
      <c r="G75" s="215" t="str">
        <f>IF(OK_P=1,VLOOKUP(knr,Bilagtab1,7),"---------- ")</f>
        <v>---------- </v>
      </c>
      <c r="H75" s="215" t="str">
        <f t="shared" si="1"/>
        <v> 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1:50" s="27" customFormat="1" ht="12.75" customHeight="1">
      <c r="A76" s="23"/>
      <c r="B76" s="213"/>
      <c r="C76" s="182" t="s">
        <v>362</v>
      </c>
      <c r="D76" s="182"/>
      <c r="E76" s="214"/>
      <c r="F76" s="215" t="str">
        <f>IF(ok_pp=1,+G282," ")</f>
        <v> </v>
      </c>
      <c r="G76" s="215" t="str">
        <f>IF(OK_P=1,+H282,"---------- ")</f>
        <v>---------- </v>
      </c>
      <c r="H76" s="215" t="str">
        <f t="shared" si="1"/>
        <v> 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1:50" s="27" customFormat="1" ht="12.75" customHeight="1">
      <c r="A77" s="23"/>
      <c r="B77" s="213"/>
      <c r="C77" s="182" t="s">
        <v>363</v>
      </c>
      <c r="D77" s="182"/>
      <c r="E77" s="214"/>
      <c r="F77" s="258" t="str">
        <f>IF(ok_pp=1,+G242," ")</f>
        <v> </v>
      </c>
      <c r="G77" s="258" t="str">
        <f>IF(OK_P=1,+H242,"---------- ")</f>
        <v>---------- </v>
      </c>
      <c r="H77" s="258" t="str">
        <f>IF(ok_pp=1,+F77-G77," ")</f>
        <v> 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</row>
    <row r="78" spans="1:50" s="27" customFormat="1" ht="12.75" customHeight="1">
      <c r="A78" s="23"/>
      <c r="B78" s="213"/>
      <c r="C78" s="182" t="s">
        <v>426</v>
      </c>
      <c r="D78" s="182"/>
      <c r="E78" s="214"/>
      <c r="F78" s="258" t="str">
        <f>IF(ok_pp=1,+G257," ")</f>
        <v> </v>
      </c>
      <c r="G78" s="258" t="str">
        <f>IF(OK_P=1,+H257,"---------- ")</f>
        <v>---------- </v>
      </c>
      <c r="H78" s="258" t="str">
        <f>IF(ok_pp=1,+F78-G78," ")</f>
        <v> 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1:50" s="27" customFormat="1" ht="12.75" customHeight="1">
      <c r="A79" s="23"/>
      <c r="B79" s="213"/>
      <c r="C79" s="182" t="s">
        <v>364</v>
      </c>
      <c r="D79" s="182"/>
      <c r="E79" s="214"/>
      <c r="F79" s="215" t="str">
        <f>IF(ok_pp=1,+G284," ")</f>
        <v> </v>
      </c>
      <c r="G79" s="215" t="str">
        <f>IF(OK_P=1,+H284,"---------- ")</f>
        <v>---------- </v>
      </c>
      <c r="H79" s="215" t="str">
        <f t="shared" si="1"/>
        <v> 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1:50" s="27" customFormat="1" ht="12.75" customHeight="1">
      <c r="A80" s="23"/>
      <c r="B80" s="216"/>
      <c r="C80" s="217" t="s">
        <v>381</v>
      </c>
      <c r="D80" s="217"/>
      <c r="E80" s="218"/>
      <c r="F80" s="219" t="str">
        <f>IF(ok_pp=1,VLOOKUP(knr,Bilagtab1,12)," ")</f>
        <v> </v>
      </c>
      <c r="G80" s="219" t="str">
        <f>IF(OK_P=1,VLOOKUP(knr,Bilagtab1,12),"---------- ")</f>
        <v>---------- </v>
      </c>
      <c r="H80" s="219" t="str">
        <f t="shared" si="1"/>
        <v> 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</row>
    <row r="81" spans="1:50" s="27" customFormat="1" ht="12.75" customHeight="1">
      <c r="A81" s="23"/>
      <c r="B81" s="220" t="s">
        <v>142</v>
      </c>
      <c r="C81" s="210"/>
      <c r="D81" s="210"/>
      <c r="E81" s="221"/>
      <c r="F81" s="222" t="str">
        <f>IF(ok_pp=1,SUM(F82:F87)," ")</f>
        <v> </v>
      </c>
      <c r="G81" s="222" t="str">
        <f>IF(OK_P=1,SUM(G82:G87)," ---------- ")</f>
        <v> ---------- </v>
      </c>
      <c r="H81" s="222" t="str">
        <f>IF(ok_pp=1,+F81-G81," ")</f>
        <v> 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</row>
    <row r="82" spans="1:50" s="27" customFormat="1" ht="12.75" customHeight="1">
      <c r="A82" s="23"/>
      <c r="B82" s="181"/>
      <c r="C82" s="182" t="str">
        <f>+"Bloktilskud ordinært vedr. "&amp;aar&amp;" (jf. G.11)"</f>
        <v>Bloktilskud ordinært vedr. 2021 (jf. G.11)</v>
      </c>
      <c r="D82" s="182"/>
      <c r="E82" s="183"/>
      <c r="F82" s="185" t="str">
        <f>IF(ok_pp=1,+G278," ")</f>
        <v> </v>
      </c>
      <c r="G82" s="185" t="str">
        <f>IF(OK_P=1,+H278,"---------- ")</f>
        <v>---------- </v>
      </c>
      <c r="H82" s="185" t="str">
        <f aca="true" t="shared" si="2" ref="H82:H89">IF(ok_pp=1,+F82-G82," ")</f>
        <v> 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</row>
    <row r="83" spans="1:50" s="27" customFormat="1" ht="12.75" customHeight="1">
      <c r="A83" s="23"/>
      <c r="B83" s="181"/>
      <c r="C83" s="182" t="str">
        <f>+"Bloktilskud betinget vedr. service "&amp;aar&amp;" (jf. G.12)"</f>
        <v>Bloktilskud betinget vedr. service 2021 (jf. G.12)</v>
      </c>
      <c r="D83" s="182"/>
      <c r="E83" s="183"/>
      <c r="F83" s="185" t="str">
        <f>IF(ok_pp=1,+G279," ")</f>
        <v> </v>
      </c>
      <c r="G83" s="185" t="str">
        <f>IF(OK_P=1,+H279,"---------- ")</f>
        <v>---------- </v>
      </c>
      <c r="H83" s="185" t="str">
        <f t="shared" si="2"/>
        <v> 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</row>
    <row r="84" spans="1:50" s="27" customFormat="1" ht="12.75" customHeight="1">
      <c r="A84" s="23"/>
      <c r="B84" s="181"/>
      <c r="C84" s="182" t="str">
        <f>+"Bloktilskud betinget vedr. anlæg "&amp;aar&amp;" (jf. G.13)"</f>
        <v>Bloktilskud betinget vedr. anlæg 2021 (jf. G.13)</v>
      </c>
      <c r="D84" s="182"/>
      <c r="E84" s="183"/>
      <c r="F84" s="185" t="str">
        <f>IF(ok_pp=1,+G280," ")</f>
        <v> </v>
      </c>
      <c r="G84" s="185" t="str">
        <f>IF(OK_P=1,+H280,"---------- ")</f>
        <v>---------- </v>
      </c>
      <c r="H84" s="185" t="str">
        <f t="shared" si="2"/>
        <v> 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</row>
    <row r="85" spans="1:50" s="27" customFormat="1" ht="12.75" customHeight="1">
      <c r="A85" s="23"/>
      <c r="B85" s="181"/>
      <c r="C85" s="182" t="s">
        <v>372</v>
      </c>
      <c r="D85" s="182"/>
      <c r="E85" s="183"/>
      <c r="F85" s="185" t="str">
        <f>IF(ok_pp=1,VLOOKUP(knr,Bilagtab1,44)," ")</f>
        <v> </v>
      </c>
      <c r="G85" s="185" t="str">
        <f>IF(OK_P=1,VLOOKUP(knr,Bilagtab1,44),"---------- ")</f>
        <v>---------- </v>
      </c>
      <c r="H85" s="185" t="str">
        <f t="shared" si="2"/>
        <v> 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1:50" s="27" customFormat="1" ht="12.75" customHeight="1">
      <c r="A86" s="23"/>
      <c r="B86" s="181"/>
      <c r="C86" s="182" t="s">
        <v>160</v>
      </c>
      <c r="D86" s="182"/>
      <c r="E86" s="183"/>
      <c r="F86" s="185" t="str">
        <f>IF(ok_pp=1,VLOOKUP(knr,Bilagtab1,42)," ")</f>
        <v> </v>
      </c>
      <c r="G86" s="185" t="str">
        <f>IF(OK_P=1,VLOOKUP(knr,Bilagtab1,42),"---------- ")</f>
        <v>---------- </v>
      </c>
      <c r="H86" s="185" t="str">
        <f t="shared" si="2"/>
        <v> 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</row>
    <row r="87" spans="1:50" s="27" customFormat="1" ht="12.75" customHeight="1">
      <c r="A87" s="23"/>
      <c r="B87" s="223"/>
      <c r="C87" s="217" t="s">
        <v>371</v>
      </c>
      <c r="D87" s="217"/>
      <c r="E87" s="224"/>
      <c r="F87" s="225" t="str">
        <f>IF(ok_pp=1,VLOOKUP(knr,Bilagtab1,43)," ")</f>
        <v> </v>
      </c>
      <c r="G87" s="225" t="str">
        <f>IF(OK_P=1,VLOOKUP(knr,Bilagtab1,43),"---------- ")</f>
        <v>---------- </v>
      </c>
      <c r="H87" s="225" t="str">
        <f>IF(ok_pp=1,+F87-G87," ")</f>
        <v> 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1:50" s="27" customFormat="1" ht="12.75" customHeight="1">
      <c r="A88" s="23"/>
      <c r="B88" s="209" t="str">
        <f>+"7.80 grp. 010 Udligning af selskabsskat"</f>
        <v>7.80 grp. 010 Udligning af selskabsskat</v>
      </c>
      <c r="C88" s="210"/>
      <c r="D88" s="210"/>
      <c r="E88" s="210"/>
      <c r="F88" s="212" t="str">
        <f>IF(ok_pp=1,SUM(F89:F89)," ")</f>
        <v> </v>
      </c>
      <c r="G88" s="212" t="str">
        <f>IF(OK_P=1,SUM(G89:G89)," ---------- ")</f>
        <v> ---------- </v>
      </c>
      <c r="H88" s="226" t="str">
        <f t="shared" si="2"/>
        <v> 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</row>
    <row r="89" spans="1:50" s="27" customFormat="1" ht="12.75" customHeight="1">
      <c r="A89" s="23"/>
      <c r="B89" s="216"/>
      <c r="C89" s="217" t="str">
        <f>+"Udligning af selskabsskat"</f>
        <v>Udligning af selskabsskat</v>
      </c>
      <c r="D89" s="217"/>
      <c r="E89" s="217"/>
      <c r="F89" s="219" t="str">
        <f>IF(ok_pp=1,VLOOKUP(knr,Bilagtab1,15)," ")</f>
        <v> </v>
      </c>
      <c r="G89" s="219" t="str">
        <f>IF(OK_P=1,VLOOKUP(knr,Bilagtab1,15),"---------- ")</f>
        <v>---------- </v>
      </c>
      <c r="H89" s="227" t="str">
        <f t="shared" si="2"/>
        <v> </v>
      </c>
      <c r="I89" s="42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</row>
    <row r="90" spans="1:50" s="27" customFormat="1" ht="12.75" customHeight="1">
      <c r="A90" s="23"/>
      <c r="B90" s="209" t="str">
        <f>+"7.80 grp. 011 Udligning af dækningsafgifter (offentlige ejendomme)"</f>
        <v>7.80 grp. 011 Udligning af dækningsafgifter (offentlige ejendomme)</v>
      </c>
      <c r="C90" s="210"/>
      <c r="D90" s="210"/>
      <c r="E90" s="210"/>
      <c r="F90" s="212" t="str">
        <f>IF(ok_pp=1,SUM(F91:F91)," ")</f>
        <v> </v>
      </c>
      <c r="G90" s="212" t="str">
        <f>IF(OK_P=1,SUM(G91:G91)," ---------- ")</f>
        <v> ---------- </v>
      </c>
      <c r="H90" s="212" t="str">
        <f>IF(ok_pp=1,+F90-G90," ")</f>
        <v> </v>
      </c>
      <c r="I90" s="42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</row>
    <row r="91" spans="1:50" s="27" customFormat="1" ht="12.75" customHeight="1">
      <c r="A91" s="23"/>
      <c r="B91" s="213"/>
      <c r="C91" s="182" t="str">
        <f>+"Udligning af dækningsafgift af offentlige ejendomme"</f>
        <v>Udligning af dækningsafgift af offentlige ejendomme</v>
      </c>
      <c r="D91" s="182"/>
      <c r="E91" s="182"/>
      <c r="F91" s="215" t="str">
        <f>IF(ok_pp=1,VLOOKUP(knr,Bilagtab1,16)," ")</f>
        <v> </v>
      </c>
      <c r="G91" s="215" t="str">
        <f>IF(OK_P=1,VLOOKUP(knr,Bilagtab1,16),"---------- ")</f>
        <v>---------- </v>
      </c>
      <c r="H91" s="215" t="str">
        <f>IF(ok_pp=1,+F91-G91," ")</f>
        <v> </v>
      </c>
      <c r="I91" s="42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</row>
    <row r="92" spans="1:50" s="27" customFormat="1" ht="12.75" customHeight="1">
      <c r="A92" s="23"/>
      <c r="B92" s="228" t="s">
        <v>398</v>
      </c>
      <c r="C92" s="229"/>
      <c r="D92" s="229"/>
      <c r="E92" s="229"/>
      <c r="F92" s="230" t="str">
        <f>IF(ok_pp=1,+F70+F81+F88+F90," ")</f>
        <v> </v>
      </c>
      <c r="G92" s="230" t="str">
        <f>IF(OK_P=1,+G70+G81+G88+G90,"---------- ")</f>
        <v>---------- </v>
      </c>
      <c r="H92" s="231" t="str">
        <f>IF(ok_pp=1,+F106-G106," ")</f>
        <v> 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</row>
    <row r="93" spans="1:50" s="27" customFormat="1" ht="12.75" customHeight="1">
      <c r="A93" s="23"/>
      <c r="B93" s="23"/>
      <c r="C93" s="23"/>
      <c r="D93" s="23"/>
      <c r="E93" s="23"/>
      <c r="F93" s="232"/>
      <c r="G93" s="232"/>
      <c r="H93" s="232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</row>
    <row r="94" spans="1:50" s="27" customFormat="1" ht="12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</row>
    <row r="95" spans="1:50" s="27" customFormat="1" ht="12.75" customHeight="1">
      <c r="A95" s="23"/>
      <c r="B95" s="163"/>
      <c r="C95" s="164"/>
      <c r="D95" s="164"/>
      <c r="E95" s="164"/>
      <c r="F95" s="166" t="s">
        <v>3</v>
      </c>
      <c r="G95" s="166" t="s">
        <v>5</v>
      </c>
      <c r="H95" s="165" t="s">
        <v>6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</row>
    <row r="96" spans="1:50" s="27" customFormat="1" ht="12.75" customHeight="1">
      <c r="A96" s="23"/>
      <c r="B96" s="167"/>
      <c r="C96" s="168" t="s">
        <v>7</v>
      </c>
      <c r="D96" s="168"/>
      <c r="E96" s="168"/>
      <c r="F96" s="170" t="s">
        <v>4</v>
      </c>
      <c r="G96" s="170" t="s">
        <v>8</v>
      </c>
      <c r="H96" s="169" t="s">
        <v>9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</row>
    <row r="97" spans="1:50" s="27" customFormat="1" ht="12.75" customHeight="1">
      <c r="A97" s="23"/>
      <c r="B97" s="167"/>
      <c r="C97" s="168"/>
      <c r="D97" s="168"/>
      <c r="E97" s="168"/>
      <c r="F97" s="170" t="s">
        <v>10</v>
      </c>
      <c r="G97" s="170" t="s">
        <v>11</v>
      </c>
      <c r="H97" s="169" t="s">
        <v>12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</row>
    <row r="98" spans="1:50" s="27" customFormat="1" ht="12.75" customHeight="1">
      <c r="A98" s="23"/>
      <c r="B98" s="171"/>
      <c r="C98" s="172"/>
      <c r="D98" s="172"/>
      <c r="E98" s="172"/>
      <c r="F98" s="174"/>
      <c r="G98" s="174"/>
      <c r="H98" s="17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</row>
    <row r="99" spans="1:50" s="27" customFormat="1" ht="12.75" customHeight="1">
      <c r="A99" s="23"/>
      <c r="B99" s="209" t="s">
        <v>139</v>
      </c>
      <c r="C99" s="210"/>
      <c r="D99" s="210"/>
      <c r="E99" s="210"/>
      <c r="F99" s="212" t="str">
        <f>IF(ok_pp=1,SUM(F100:F101)," ")</f>
        <v> </v>
      </c>
      <c r="G99" s="212" t="str">
        <f>IF(OK_P=1,SUM(G100:G101),"---------- ")</f>
        <v>---------- </v>
      </c>
      <c r="H99" s="212" t="str">
        <f>IF(ok_pp=1,+F99-G99," ")</f>
        <v> 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</row>
    <row r="100" spans="1:50" s="27" customFormat="1" ht="12.75" customHeight="1">
      <c r="A100" s="23"/>
      <c r="B100" s="233"/>
      <c r="C100" s="182" t="s">
        <v>132</v>
      </c>
      <c r="D100" s="182"/>
      <c r="E100" s="182"/>
      <c r="F100" s="215" t="str">
        <f>IF(ok_pp=1,VLOOKUP(knr,Bilagtab1,13)," ")</f>
        <v> </v>
      </c>
      <c r="G100" s="215" t="str">
        <f>IF(OK_P=1,VLOOKUP(knr,Bilagtab1,13),"---------- ")</f>
        <v>---------- </v>
      </c>
      <c r="H100" s="215" t="str">
        <f>IF(ok_pp=1,+F100-G100," ")</f>
        <v> 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</row>
    <row r="101" spans="1:50" s="27" customFormat="1" ht="12.75" customHeight="1">
      <c r="A101" s="23"/>
      <c r="B101" s="234"/>
      <c r="C101" s="217" t="s">
        <v>369</v>
      </c>
      <c r="D101" s="217"/>
      <c r="E101" s="217"/>
      <c r="F101" s="219" t="str">
        <f>IF(ok_pp=1,+G281," ")</f>
        <v> </v>
      </c>
      <c r="G101" s="219" t="str">
        <f>IF(OK_P=1,VLOOKUP(knr,Bilagtab1,14),"---------- ")</f>
        <v>---------- </v>
      </c>
      <c r="H101" s="219" t="str">
        <f>IF(ok_pp=1,+F101-G101," ")</f>
        <v> 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</row>
    <row r="102" spans="1:50" s="27" customFormat="1" ht="12.75" customHeight="1">
      <c r="A102" s="23"/>
      <c r="B102" s="228" t="s">
        <v>397</v>
      </c>
      <c r="C102" s="229"/>
      <c r="D102" s="229"/>
      <c r="E102" s="229"/>
      <c r="F102" s="230" t="str">
        <f>IF(ok_pp=1,F99," ")</f>
        <v> </v>
      </c>
      <c r="G102" s="230" t="str">
        <f>IF(OK_P=1,G99,"---------- ")</f>
        <v>---------- </v>
      </c>
      <c r="H102" s="231" t="str">
        <f>IF(ok_pp=1,+F116-G116," ")</f>
        <v> 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</row>
    <row r="103" spans="1:50" s="27" customFormat="1" ht="12" customHeight="1">
      <c r="A103" s="23"/>
      <c r="B103" s="34"/>
      <c r="C103" s="34"/>
      <c r="D103" s="34"/>
      <c r="E103" s="34"/>
      <c r="F103" s="37"/>
      <c r="G103" s="36"/>
      <c r="H103" s="37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</row>
    <row r="104" spans="1:50" s="27" customFormat="1" ht="12" customHeight="1">
      <c r="A104" s="23"/>
      <c r="B104" s="34"/>
      <c r="C104" s="34"/>
      <c r="D104" s="34"/>
      <c r="E104" s="34"/>
      <c r="F104" s="37"/>
      <c r="G104" s="36"/>
      <c r="H104" s="37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</row>
    <row r="105" spans="1:50" s="27" customFormat="1" ht="12" customHeight="1">
      <c r="A105" s="23"/>
      <c r="B105" s="34"/>
      <c r="C105" s="34"/>
      <c r="D105" s="34"/>
      <c r="E105" s="34"/>
      <c r="F105" s="37"/>
      <c r="G105" s="36"/>
      <c r="H105" s="37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</row>
    <row r="106" spans="1:50" s="27" customFormat="1" ht="12" customHeight="1">
      <c r="A106" s="23"/>
      <c r="B106" s="34"/>
      <c r="C106" s="34"/>
      <c r="D106" s="34"/>
      <c r="E106" s="34"/>
      <c r="F106" s="37"/>
      <c r="G106" s="36"/>
      <c r="H106" s="37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</row>
    <row r="107" spans="1:50" s="27" customFormat="1" ht="12.75" customHeight="1">
      <c r="A107" s="23"/>
      <c r="B107" s="34"/>
      <c r="C107" s="34"/>
      <c r="D107" s="34"/>
      <c r="E107" s="34"/>
      <c r="F107" s="37"/>
      <c r="G107" s="36"/>
      <c r="H107" s="37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</row>
    <row r="108" spans="1:50" s="27" customFormat="1" ht="14.25" customHeight="1">
      <c r="A108" s="23"/>
      <c r="B108" s="125" t="str">
        <f>"TABEL 3: Konteringsoversigt (del II) for:   ("&amp;TEXT(knr,0)&amp;")  "&amp;$D$5</f>
        <v>TABEL 3: Konteringsoversigt (del II) for:   (0)  Ugyldigt kommunenr. </v>
      </c>
      <c r="C108" s="34"/>
      <c r="D108" s="34"/>
      <c r="E108" s="34"/>
      <c r="F108" s="37"/>
      <c r="G108" s="36"/>
      <c r="H108" s="37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</row>
    <row r="109" spans="1:50" s="27" customFormat="1" ht="6" customHeight="1">
      <c r="A109" s="23"/>
      <c r="B109" s="125"/>
      <c r="C109" s="34"/>
      <c r="D109" s="34"/>
      <c r="E109" s="34"/>
      <c r="F109" s="37"/>
      <c r="G109" s="36"/>
      <c r="H109" s="37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</row>
    <row r="110" spans="1:50" s="27" customFormat="1" ht="12" customHeight="1">
      <c r="A110" s="23"/>
      <c r="B110" s="163"/>
      <c r="C110" s="164"/>
      <c r="D110" s="164"/>
      <c r="E110" s="164"/>
      <c r="F110" s="166" t="s">
        <v>3</v>
      </c>
      <c r="G110" s="166" t="s">
        <v>5</v>
      </c>
      <c r="H110" s="165" t="s">
        <v>6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</row>
    <row r="111" spans="1:50" s="27" customFormat="1" ht="12" customHeight="1">
      <c r="A111" s="23"/>
      <c r="B111" s="167"/>
      <c r="C111" s="168" t="s">
        <v>7</v>
      </c>
      <c r="D111" s="168"/>
      <c r="E111" s="168"/>
      <c r="F111" s="170" t="s">
        <v>4</v>
      </c>
      <c r="G111" s="170" t="s">
        <v>8</v>
      </c>
      <c r="H111" s="169" t="s">
        <v>9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</row>
    <row r="112" spans="1:50" s="27" customFormat="1" ht="12" customHeight="1">
      <c r="A112" s="23"/>
      <c r="B112" s="167"/>
      <c r="C112" s="168"/>
      <c r="D112" s="168"/>
      <c r="E112" s="168"/>
      <c r="F112" s="170" t="s">
        <v>10</v>
      </c>
      <c r="G112" s="170" t="s">
        <v>11</v>
      </c>
      <c r="H112" s="169" t="s">
        <v>12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</row>
    <row r="113" spans="1:50" s="27" customFormat="1" ht="12" customHeight="1">
      <c r="A113" s="23"/>
      <c r="B113" s="171"/>
      <c r="C113" s="172"/>
      <c r="D113" s="172"/>
      <c r="E113" s="172"/>
      <c r="F113" s="174"/>
      <c r="G113" s="174"/>
      <c r="H113" s="17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</row>
    <row r="114" spans="1:50" s="27" customFormat="1" ht="12.75" customHeight="1">
      <c r="A114" s="23"/>
      <c r="B114" s="209" t="s">
        <v>143</v>
      </c>
      <c r="C114" s="210"/>
      <c r="D114" s="210"/>
      <c r="E114" s="210"/>
      <c r="F114" s="212" t="str">
        <f>IF(ok_pp=1,SUM(F115:F115)," ")</f>
        <v> </v>
      </c>
      <c r="G114" s="212" t="str">
        <f>IF(OK_P=1,SUM(G115:G115),"---------- ")</f>
        <v>---------- </v>
      </c>
      <c r="H114" s="226" t="str">
        <f aca="true" t="shared" si="3" ref="H114:H119">IF(ok_pp=1,+F114-G114," ")</f>
        <v> 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</row>
    <row r="115" spans="1:50" s="27" customFormat="1" ht="12.75" customHeight="1">
      <c r="A115" s="23"/>
      <c r="B115" s="234"/>
      <c r="C115" s="217" t="s">
        <v>95</v>
      </c>
      <c r="D115" s="217"/>
      <c r="E115" s="217"/>
      <c r="F115" s="219" t="str">
        <f>IF(ok_pp=1,VLOOKUP(knr,Bilagtab1,35)," ")</f>
        <v> </v>
      </c>
      <c r="G115" s="219" t="str">
        <f>IF(OK_P=1,VLOOKUP(knr,Bilagtab1,35),"---------- ")</f>
        <v>---------- </v>
      </c>
      <c r="H115" s="227" t="str">
        <f t="shared" si="3"/>
        <v> 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</row>
    <row r="116" spans="1:50" s="27" customFormat="1" ht="12.75" customHeight="1">
      <c r="A116" s="23"/>
      <c r="B116" s="209" t="s">
        <v>418</v>
      </c>
      <c r="C116" s="210"/>
      <c r="D116" s="210"/>
      <c r="E116" s="210"/>
      <c r="F116" s="212" t="str">
        <f>IF(ok_pp=1,SUM(F117:F118)," ")</f>
        <v> </v>
      </c>
      <c r="G116" s="212" t="str">
        <f>IF(OK_P=1,SUM(G117:G118),"---------- ")</f>
        <v>---------- </v>
      </c>
      <c r="H116" s="226" t="str">
        <f t="shared" si="3"/>
        <v> 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</row>
    <row r="117" spans="1:50" s="27" customFormat="1" ht="12.75" customHeight="1">
      <c r="A117" s="23"/>
      <c r="B117" s="233"/>
      <c r="C117" s="182" t="s">
        <v>419</v>
      </c>
      <c r="D117" s="182"/>
      <c r="E117" s="182"/>
      <c r="F117" s="215" t="str">
        <f>IF(ok_pp=1,VLOOKUP(knr,Bilagtab1,37)," ")</f>
        <v> </v>
      </c>
      <c r="G117" s="215" t="str">
        <f>IF(OK_P=1,VLOOKUP(knr,Bilagtab1,37)," ---------- ")</f>
        <v> ---------- </v>
      </c>
      <c r="H117" s="235" t="str">
        <f t="shared" si="3"/>
        <v> 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</row>
    <row r="118" spans="1:50" s="27" customFormat="1" ht="12.75" customHeight="1">
      <c r="A118" s="23"/>
      <c r="B118" s="234"/>
      <c r="C118" s="217" t="s">
        <v>420</v>
      </c>
      <c r="D118" s="217"/>
      <c r="E118" s="217"/>
      <c r="F118" s="219" t="str">
        <f>IF(ok_pp=1,VLOOKUP(knr,Bilagtab1,38)," ")</f>
        <v> </v>
      </c>
      <c r="G118" s="219" t="str">
        <f>IF(OK_P=1,VLOOKUP(knr,Bilagtab1,38)," ---------- ")</f>
        <v> ---------- </v>
      </c>
      <c r="H118" s="227" t="str">
        <f t="shared" si="3"/>
        <v> 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</row>
    <row r="119" spans="1:50" s="27" customFormat="1" ht="12.75" customHeight="1">
      <c r="A119" s="23"/>
      <c r="B119" s="209" t="s">
        <v>144</v>
      </c>
      <c r="C119" s="210"/>
      <c r="D119" s="210"/>
      <c r="E119" s="210"/>
      <c r="F119" s="212" t="str">
        <f>IF(ok_pp=1,+SUM(F120:F123)," ")</f>
        <v> </v>
      </c>
      <c r="G119" s="212" t="str">
        <f>IF(OK_P=1,+SUM(G120:G123)," ---------- ")</f>
        <v> ---------- </v>
      </c>
      <c r="H119" s="226" t="str">
        <f t="shared" si="3"/>
        <v> 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</row>
    <row r="120" spans="1:50" s="27" customFormat="1" ht="12.75" customHeight="1">
      <c r="A120" s="23"/>
      <c r="B120" s="213"/>
      <c r="C120" s="182" t="s">
        <v>149</v>
      </c>
      <c r="D120" s="182"/>
      <c r="E120" s="182"/>
      <c r="F120" s="215" t="str">
        <f>IF(ok_pp=1,VLOOKUP(knr,Bilagtab1,31)," ")</f>
        <v> </v>
      </c>
      <c r="G120" s="215" t="str">
        <f>IF(OK_P=1,VLOOKUP(knr,Bilagtab1,31),"---------- ")</f>
        <v>---------- </v>
      </c>
      <c r="H120" s="235" t="str">
        <f>IF(ok_pp=1,+F120-G120," ")</f>
        <v> 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</row>
    <row r="121" spans="1:50" s="27" customFormat="1" ht="12.75" customHeight="1">
      <c r="A121" s="23"/>
      <c r="B121" s="213"/>
      <c r="C121" s="182" t="s">
        <v>150</v>
      </c>
      <c r="D121" s="182"/>
      <c r="E121" s="182"/>
      <c r="F121" s="215" t="str">
        <f>IF(ok_pp=1,VLOOKUP(knr,Bilagtab1,32)," ")</f>
        <v> </v>
      </c>
      <c r="G121" s="215" t="str">
        <f>IF(OK_P=1,VLOOKUP(knr,Bilagtab1,32),"---------- ")</f>
        <v>---------- </v>
      </c>
      <c r="H121" s="235" t="str">
        <f>IF(ok_pp=1,+F121-G121," ")</f>
        <v> 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</row>
    <row r="122" spans="1:50" s="27" customFormat="1" ht="12.75" customHeight="1">
      <c r="A122" s="23"/>
      <c r="B122" s="213"/>
      <c r="C122" s="182" t="s">
        <v>151</v>
      </c>
      <c r="D122" s="182"/>
      <c r="E122" s="182"/>
      <c r="F122" s="215" t="str">
        <f>IF(ok_pp=1,VLOOKUP(knr,Bilagtab1,33)," ")</f>
        <v> </v>
      </c>
      <c r="G122" s="215" t="str">
        <f>IF(OK_P=1,VLOOKUP(knr,Bilagtab1,33),"---------- ")</f>
        <v>---------- </v>
      </c>
      <c r="H122" s="235" t="str">
        <f>IF(ok_pp=1,+F121-G121," ")</f>
        <v> 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</row>
    <row r="123" spans="1:50" s="27" customFormat="1" ht="12.75" customHeight="1">
      <c r="A123" s="23"/>
      <c r="B123" s="216"/>
      <c r="C123" s="217" t="s">
        <v>153</v>
      </c>
      <c r="D123" s="217"/>
      <c r="E123" s="217"/>
      <c r="F123" s="219" t="str">
        <f>IF(ok_pp=1,VLOOKUP(knr,Bilagtab1,34)," ")</f>
        <v> </v>
      </c>
      <c r="G123" s="219" t="str">
        <f>IF(OK_P=1,VLOOKUP(knr,Bilagtab1,34),"---------- ")</f>
        <v>---------- </v>
      </c>
      <c r="H123" s="227" t="str">
        <f>IF(ok_pp=1,+F123-G123," ")</f>
        <v> 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</row>
    <row r="124" spans="1:50" s="27" customFormat="1" ht="12.75" customHeight="1">
      <c r="A124" s="23"/>
      <c r="B124" s="209" t="s">
        <v>145</v>
      </c>
      <c r="C124" s="210"/>
      <c r="D124" s="210"/>
      <c r="E124" s="210"/>
      <c r="F124" s="212" t="str">
        <f>IF(ok_pp=1,+SUM(F125:F125)," ")</f>
        <v> </v>
      </c>
      <c r="G124" s="212" t="str">
        <f>IF(OK_P=1,+SUM(G125:G125),"---------- ")</f>
        <v>---------- </v>
      </c>
      <c r="H124" s="226" t="str">
        <f aca="true" t="shared" si="4" ref="H124:H129">IF(ok_pp=1,+F124-G124," ")</f>
        <v> 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</row>
    <row r="125" spans="1:50" s="27" customFormat="1" ht="12.75" customHeight="1">
      <c r="A125" s="23"/>
      <c r="B125" s="216"/>
      <c r="C125" s="217" t="s">
        <v>137</v>
      </c>
      <c r="D125" s="217"/>
      <c r="E125" s="217"/>
      <c r="F125" s="219" t="str">
        <f>IF(ok_pp=1,VLOOKUP(knr,Bilagtab1,21)," ")</f>
        <v> </v>
      </c>
      <c r="G125" s="219" t="str">
        <f>IF(OK_P=1,VLOOKUP(knr,Bilagtab1,21),"---------- ")</f>
        <v>---------- </v>
      </c>
      <c r="H125" s="227" t="str">
        <f t="shared" si="4"/>
        <v> 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</row>
    <row r="126" spans="1:50" s="27" customFormat="1" ht="12.75" customHeight="1">
      <c r="A126" s="23"/>
      <c r="B126" s="209" t="s">
        <v>154</v>
      </c>
      <c r="C126" s="210"/>
      <c r="D126" s="210"/>
      <c r="E126" s="210"/>
      <c r="F126" s="212" t="str">
        <f>IF(ok_pp=1,+SUM(F127:F127)," ")</f>
        <v> </v>
      </c>
      <c r="G126" s="212" t="str">
        <f>IF(OK_P=1,+SUM(G127:G127),"---------- ")</f>
        <v>---------- </v>
      </c>
      <c r="H126" s="226" t="str">
        <f t="shared" si="4"/>
        <v> 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</row>
    <row r="127" spans="1:50" s="27" customFormat="1" ht="12.75" customHeight="1">
      <c r="A127" s="23"/>
      <c r="B127" s="216"/>
      <c r="C127" s="217" t="s">
        <v>138</v>
      </c>
      <c r="D127" s="217"/>
      <c r="E127" s="217"/>
      <c r="F127" s="219" t="str">
        <f>IF(ok_pp=1,VLOOKUP(knr,Bilagtab1,17)," ")</f>
        <v> </v>
      </c>
      <c r="G127" s="219" t="str">
        <f>IF(OK_P=1,VLOOKUP(knr,Bilagtab1,17),"---------- ")</f>
        <v>---------- </v>
      </c>
      <c r="H127" s="227" t="str">
        <f t="shared" si="4"/>
        <v> 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</row>
    <row r="128" spans="1:50" s="27" customFormat="1" ht="12.75" customHeight="1">
      <c r="A128" s="23"/>
      <c r="B128" s="209" t="s">
        <v>146</v>
      </c>
      <c r="C128" s="210"/>
      <c r="D128" s="210"/>
      <c r="E128" s="210"/>
      <c r="F128" s="212" t="str">
        <f>IF(ok_pp=1,+SUM(F129:F129)," ")</f>
        <v> </v>
      </c>
      <c r="G128" s="212" t="str">
        <f>IF(OK_P=1,+SUM(G129:G129),"---------- ")</f>
        <v>---------- </v>
      </c>
      <c r="H128" s="226" t="str">
        <f t="shared" si="4"/>
        <v> 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</row>
    <row r="129" spans="1:50" s="27" customFormat="1" ht="12.75" customHeight="1">
      <c r="A129" s="23"/>
      <c r="B129" s="216"/>
      <c r="C129" s="217" t="s">
        <v>131</v>
      </c>
      <c r="D129" s="217"/>
      <c r="E129" s="217"/>
      <c r="F129" s="219" t="str">
        <f>IF(ok_pp=1,VLOOKUP(knr,Bilagtab1,18)," ")</f>
        <v> </v>
      </c>
      <c r="G129" s="219" t="str">
        <f>IF(OK_P=1,VLOOKUP(knr,Bilagtab1,18),"---------- ")</f>
        <v>---------- </v>
      </c>
      <c r="H129" s="227" t="str">
        <f t="shared" si="4"/>
        <v> 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</row>
    <row r="130" spans="1:50" s="27" customFormat="1" ht="12.75" customHeight="1">
      <c r="A130" s="23"/>
      <c r="B130" s="209" t="s">
        <v>411</v>
      </c>
      <c r="C130" s="210"/>
      <c r="D130" s="210"/>
      <c r="E130" s="210"/>
      <c r="F130" s="212" t="str">
        <f>IF(ok_pp=1,+SUM(F131:F131)," ")</f>
        <v> </v>
      </c>
      <c r="G130" s="212" t="str">
        <f>IF(OK_P=1,+SUM(G131:G131)," ---------- ")</f>
        <v> ---------- </v>
      </c>
      <c r="H130" s="226" t="str">
        <f>IF(ok_pp=1,+SUM(H131:H131)," ")</f>
        <v> 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</row>
    <row r="131" spans="1:50" s="27" customFormat="1" ht="12.75" customHeight="1">
      <c r="A131" s="23"/>
      <c r="B131" s="216"/>
      <c r="C131" s="217" t="s">
        <v>148</v>
      </c>
      <c r="D131" s="217"/>
      <c r="E131" s="217"/>
      <c r="F131" s="219" t="str">
        <f>IF(ok_pp=1,VLOOKUP(knr,Bilagtab1,45)," ")</f>
        <v> </v>
      </c>
      <c r="G131" s="219" t="str">
        <f>IF(OK_P=1,VLOOKUP(knr,Bilagtab1,45),"---------- ")</f>
        <v>---------- </v>
      </c>
      <c r="H131" s="227" t="str">
        <f aca="true" t="shared" si="5" ref="H131:H137">IF(ok_pp=1,+F131-G131," ")</f>
        <v> 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</row>
    <row r="132" spans="1:50" s="27" customFormat="1" ht="12.75" customHeight="1">
      <c r="A132" s="23"/>
      <c r="B132" s="209" t="s">
        <v>158</v>
      </c>
      <c r="C132" s="210"/>
      <c r="D132" s="210"/>
      <c r="E132" s="210"/>
      <c r="F132" s="212" t="str">
        <f>IF(ok_pp=1,+SUM(F133:F135)," ")</f>
        <v> </v>
      </c>
      <c r="G132" s="212" t="str">
        <f>IF(OK_P=1,+SUM(G133:G135)," ---------- ")</f>
        <v> ---------- </v>
      </c>
      <c r="H132" s="226" t="str">
        <f t="shared" si="5"/>
        <v> 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</row>
    <row r="133" spans="1:50" s="27" customFormat="1" ht="12.75" customHeight="1">
      <c r="A133" s="23"/>
      <c r="B133" s="213"/>
      <c r="C133" s="182" t="s">
        <v>161</v>
      </c>
      <c r="D133" s="182"/>
      <c r="E133" s="182"/>
      <c r="F133" s="215" t="str">
        <f>IF(ok_pp=1,VLOOKUP(knr,Bilagtab1,39)," ")</f>
        <v> </v>
      </c>
      <c r="G133" s="215" t="str">
        <f>IF(OK_P=1,VLOOKUP(knr,Bilagtab1,39),"---------- ")</f>
        <v>---------- </v>
      </c>
      <c r="H133" s="235" t="str">
        <f t="shared" si="5"/>
        <v> 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</row>
    <row r="134" spans="1:50" s="27" customFormat="1" ht="12.75" customHeight="1">
      <c r="A134" s="23"/>
      <c r="B134" s="213"/>
      <c r="C134" s="182" t="s">
        <v>373</v>
      </c>
      <c r="D134" s="182"/>
      <c r="E134" s="182"/>
      <c r="F134" s="215" t="str">
        <f>IF(ok_pp=1,VLOOKUP(knr,Bilagtab1,40)," ")</f>
        <v> </v>
      </c>
      <c r="G134" s="215" t="str">
        <f>IF(OK_P=1,VLOOKUP(knr,Bilagtab1,40),"---------- ")</f>
        <v>---------- </v>
      </c>
      <c r="H134" s="235" t="str">
        <f t="shared" si="5"/>
        <v> 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</row>
    <row r="135" spans="1:50" s="27" customFormat="1" ht="12.75" customHeight="1">
      <c r="A135" s="23"/>
      <c r="B135" s="216"/>
      <c r="C135" s="217" t="s">
        <v>374</v>
      </c>
      <c r="D135" s="217"/>
      <c r="E135" s="217"/>
      <c r="F135" s="219" t="str">
        <f>IF(ok_pp=1,VLOOKUP(knr,Bilagtab1,41)," ")</f>
        <v> </v>
      </c>
      <c r="G135" s="219" t="str">
        <f>IF(OK_P=1,VLOOKUP(knr,Bilagtab1,41),"---------- ")</f>
        <v>---------- </v>
      </c>
      <c r="H135" s="227" t="str">
        <f t="shared" si="5"/>
        <v> 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</row>
    <row r="136" spans="1:50" s="27" customFormat="1" ht="12.75" customHeight="1">
      <c r="A136" s="23"/>
      <c r="B136" s="209" t="s">
        <v>157</v>
      </c>
      <c r="C136" s="210"/>
      <c r="D136" s="210"/>
      <c r="E136" s="210"/>
      <c r="F136" s="212" t="str">
        <f>IF(ok_pp=1,+SUM(F137:F137)," ")</f>
        <v> </v>
      </c>
      <c r="G136" s="212" t="str">
        <f>IF(OK_P=1,+SUM(G137:G137),"---------- ")</f>
        <v>---------- </v>
      </c>
      <c r="H136" s="226" t="str">
        <f t="shared" si="5"/>
        <v> 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</row>
    <row r="137" spans="1:50" s="27" customFormat="1" ht="12.75" customHeight="1">
      <c r="A137" s="23"/>
      <c r="B137" s="216"/>
      <c r="C137" s="217" t="s">
        <v>156</v>
      </c>
      <c r="D137" s="217"/>
      <c r="E137" s="217"/>
      <c r="F137" s="219" t="str">
        <f>IF(ok_pp=1,VLOOKUP(knr,Bilagtab1,36)," ")</f>
        <v> </v>
      </c>
      <c r="G137" s="219" t="str">
        <f>IF(OK_P=1,VLOOKUP(knr,Bilagtab1,36),"---------- ")</f>
        <v>---------- </v>
      </c>
      <c r="H137" s="227" t="str">
        <f t="shared" si="5"/>
        <v> 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</row>
    <row r="138" spans="1:50" s="27" customFormat="1" ht="12.75" customHeight="1">
      <c r="A138" s="23"/>
      <c r="B138" s="209" t="s">
        <v>170</v>
      </c>
      <c r="C138" s="210"/>
      <c r="D138" s="210"/>
      <c r="E138" s="210"/>
      <c r="F138" s="212" t="str">
        <f>IF(ok_pp=1,+SUM(F139:F139)," ")</f>
        <v> </v>
      </c>
      <c r="G138" s="212" t="str">
        <f>IF(OK_P=1,+SUM(G139:G139),"---------- ")</f>
        <v>---------- </v>
      </c>
      <c r="H138" s="226" t="str">
        <f aca="true" t="shared" si="6" ref="H138:H144">IF(ok_pp=1,+F138-G138," ")</f>
        <v> 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</row>
    <row r="139" spans="1:50" s="27" customFormat="1" ht="12.75" customHeight="1">
      <c r="A139" s="23"/>
      <c r="B139" s="216"/>
      <c r="C139" s="217" t="s">
        <v>159</v>
      </c>
      <c r="D139" s="217"/>
      <c r="E139" s="217"/>
      <c r="F139" s="219" t="str">
        <f>IF(ok_pp=1,VLOOKUP(knr,Bilagtab1,46)," ")</f>
        <v> </v>
      </c>
      <c r="G139" s="219" t="str">
        <f>IF(OK_P=1,VLOOKUP(knr,Bilagtab1,46),"---------- ")</f>
        <v>---------- </v>
      </c>
      <c r="H139" s="227" t="str">
        <f t="shared" si="6"/>
        <v> 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</row>
    <row r="140" spans="1:50" s="27" customFormat="1" ht="12.75" customHeight="1">
      <c r="A140" s="23"/>
      <c r="B140" s="209" t="s">
        <v>163</v>
      </c>
      <c r="C140" s="210"/>
      <c r="D140" s="210"/>
      <c r="E140" s="210"/>
      <c r="F140" s="212" t="str">
        <f>IF(ok_pp=1,+SUM(F141:F141)," ")</f>
        <v> </v>
      </c>
      <c r="G140" s="212" t="str">
        <f>IF(OK_P=1,+SUM(G141:G141),"---------- ")</f>
        <v>---------- </v>
      </c>
      <c r="H140" s="226" t="str">
        <f t="shared" si="6"/>
        <v> 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</row>
    <row r="141" spans="1:50" s="27" customFormat="1" ht="12.75" customHeight="1">
      <c r="A141" s="23"/>
      <c r="B141" s="216"/>
      <c r="C141" s="217" t="s">
        <v>164</v>
      </c>
      <c r="D141" s="217"/>
      <c r="E141" s="217"/>
      <c r="F141" s="219" t="str">
        <f>IF(ok_pp=1,VLOOKUP(knr,Bilagtab1,19)," ")</f>
        <v> </v>
      </c>
      <c r="G141" s="219" t="str">
        <f>IF(OK_P=1,VLOOKUP(knr,Bilagtab1,19),"---------- ")</f>
        <v>---------- </v>
      </c>
      <c r="H141" s="227" t="str">
        <f t="shared" si="6"/>
        <v> 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</row>
    <row r="142" spans="1:50" s="27" customFormat="1" ht="12.75" customHeight="1">
      <c r="A142" s="23"/>
      <c r="B142" s="209" t="s">
        <v>171</v>
      </c>
      <c r="C142" s="210"/>
      <c r="D142" s="210"/>
      <c r="E142" s="210"/>
      <c r="F142" s="212" t="str">
        <f>IF(ok_pp=1,+SUM(F143:F143)," ")</f>
        <v> </v>
      </c>
      <c r="G142" s="212" t="str">
        <f>IF(OK_P=1,+SUM(G143:G143),"---------- ")</f>
        <v>---------- </v>
      </c>
      <c r="H142" s="226" t="str">
        <f>IF(ok_pp=1,+F142-G142," ")</f>
        <v> 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</row>
    <row r="143" spans="1:50" s="27" customFormat="1" ht="12.75" customHeight="1">
      <c r="A143" s="23"/>
      <c r="B143" s="216"/>
      <c r="C143" s="217" t="s">
        <v>162</v>
      </c>
      <c r="D143" s="217"/>
      <c r="E143" s="217"/>
      <c r="F143" s="219" t="str">
        <f>IF(ok_pp=1,VLOOKUP(knr,Bilagtab1,20)," ")</f>
        <v> </v>
      </c>
      <c r="G143" s="219" t="str">
        <f>IF(OK_P=1,VLOOKUP(knr,Bilagtab1,20),"---------- ")</f>
        <v>---------- </v>
      </c>
      <c r="H143" s="227" t="str">
        <f>IF(ok_pp=1,+F143-G143," ")</f>
        <v> 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</row>
    <row r="144" spans="1:50" s="27" customFormat="1" ht="12.75" customHeight="1">
      <c r="A144" s="23"/>
      <c r="B144" s="209" t="s">
        <v>413</v>
      </c>
      <c r="C144" s="210"/>
      <c r="D144" s="210"/>
      <c r="E144" s="210"/>
      <c r="F144" s="212" t="str">
        <f>IF(ok_pp=1,+SUM(F145:F145)," ")</f>
        <v> </v>
      </c>
      <c r="G144" s="212" t="str">
        <f>IF(OK_P=1,+SUM(G145:G145),"---------- ")</f>
        <v>---------- </v>
      </c>
      <c r="H144" s="226" t="str">
        <f t="shared" si="6"/>
        <v> 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</row>
    <row r="145" spans="1:50" s="27" customFormat="1" ht="12.75" customHeight="1">
      <c r="A145" s="23"/>
      <c r="B145" s="213"/>
      <c r="C145" s="182" t="s">
        <v>377</v>
      </c>
      <c r="D145" s="182"/>
      <c r="E145" s="182"/>
      <c r="F145" s="215" t="str">
        <f>IF(ok_pp=1,VLOOKUP(knr,Bilagtab1,25)," ")</f>
        <v> </v>
      </c>
      <c r="G145" s="215" t="str">
        <f>IF(OK_P=1,VLOOKUP(knr,Bilagtab1,25)," ---------- ")</f>
        <v> ---------- </v>
      </c>
      <c r="H145" s="235" t="str">
        <f aca="true" t="shared" si="7" ref="H145:H155">IF(ok_pp=1,+F145-G145," ")</f>
        <v> 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</row>
    <row r="146" spans="1:50" s="27" customFormat="1" ht="12.75" customHeight="1">
      <c r="A146" s="23"/>
      <c r="B146" s="209" t="s">
        <v>414</v>
      </c>
      <c r="C146" s="210"/>
      <c r="D146" s="210"/>
      <c r="E146" s="210"/>
      <c r="F146" s="212" t="str">
        <f>IF(ok_pp=1,+SUM(F147:F148)," ")</f>
        <v> </v>
      </c>
      <c r="G146" s="212" t="str">
        <f>IF(OK_P=1,+SUM(G147:G148),"---------- ")</f>
        <v>---------- </v>
      </c>
      <c r="H146" s="226" t="str">
        <f t="shared" si="7"/>
        <v> 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</row>
    <row r="147" spans="1:50" s="27" customFormat="1" ht="12.75" customHeight="1">
      <c r="A147" s="23"/>
      <c r="B147" s="213"/>
      <c r="C147" s="182" t="s">
        <v>378</v>
      </c>
      <c r="D147" s="182"/>
      <c r="E147" s="182"/>
      <c r="F147" s="215" t="str">
        <f>IF(ok_pp=1,VLOOKUP(knr,Bilagtab1,27)," ")</f>
        <v> </v>
      </c>
      <c r="G147" s="215" t="str">
        <f>IF(OK_P=1,VLOOKUP(knr,Bilagtab1,27)," ---------- ")</f>
        <v> ---------- </v>
      </c>
      <c r="H147" s="235" t="str">
        <f t="shared" si="7"/>
        <v> 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</row>
    <row r="148" spans="1:50" s="27" customFormat="1" ht="12.75" customHeight="1">
      <c r="A148" s="23"/>
      <c r="B148" s="216"/>
      <c r="C148" s="217" t="s">
        <v>379</v>
      </c>
      <c r="D148" s="217"/>
      <c r="E148" s="217"/>
      <c r="F148" s="219" t="str">
        <f>IF(ok_pp=1,VLOOKUP(knr,Bilagtab1,28)," ")</f>
        <v> </v>
      </c>
      <c r="G148" s="219" t="str">
        <f>IF(OK_P=1,VLOOKUP(knr,Bilagtab1,28)," ---------- ")</f>
        <v> ---------- </v>
      </c>
      <c r="H148" s="227" t="str">
        <f t="shared" si="7"/>
        <v> 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</row>
    <row r="149" spans="1:50" s="27" customFormat="1" ht="12.75" customHeight="1">
      <c r="A149" s="23"/>
      <c r="B149" s="209" t="s">
        <v>415</v>
      </c>
      <c r="C149" s="210"/>
      <c r="D149" s="210"/>
      <c r="E149" s="210"/>
      <c r="F149" s="212" t="str">
        <f>IF(ok_pp=1,+SUM(F150:F150)," ")</f>
        <v> </v>
      </c>
      <c r="G149" s="212" t="str">
        <f>IF(OK_P=1,+SUM(G150:G150),"---------- ")</f>
        <v>---------- </v>
      </c>
      <c r="H149" s="226" t="str">
        <f t="shared" si="7"/>
        <v> 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</row>
    <row r="150" spans="1:50" s="27" customFormat="1" ht="12.75" customHeight="1">
      <c r="A150" s="23"/>
      <c r="B150" s="216"/>
      <c r="C150" s="217" t="s">
        <v>380</v>
      </c>
      <c r="D150" s="217"/>
      <c r="E150" s="217"/>
      <c r="F150" s="219" t="str">
        <f>IF(ok_pp=1,VLOOKUP(knr,Bilagtab1,29)," ")</f>
        <v> </v>
      </c>
      <c r="G150" s="219" t="str">
        <f>IF(OK_P=1,VLOOKUP(knr,Bilagtab1,29)," ---------- ")</f>
        <v> ---------- </v>
      </c>
      <c r="H150" s="227" t="str">
        <f t="shared" si="7"/>
        <v> 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</row>
    <row r="151" spans="1:50" s="27" customFormat="1" ht="12.75" customHeight="1">
      <c r="A151" s="23"/>
      <c r="B151" s="209" t="s">
        <v>416</v>
      </c>
      <c r="C151" s="210"/>
      <c r="D151" s="210"/>
      <c r="E151" s="210"/>
      <c r="F151" s="212" t="str">
        <f>IF(ok_pp=1,+SUM(F152:F152)," ")</f>
        <v> </v>
      </c>
      <c r="G151" s="212" t="str">
        <f>IF(OK_P=1,+SUM(G152:G152),"---------- ")</f>
        <v>---------- </v>
      </c>
      <c r="H151" s="226" t="str">
        <f t="shared" si="7"/>
        <v> 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</row>
    <row r="152" spans="1:50" s="27" customFormat="1" ht="12.75" customHeight="1">
      <c r="A152" s="23"/>
      <c r="B152" s="216"/>
      <c r="C152" s="217" t="s">
        <v>425</v>
      </c>
      <c r="D152" s="217"/>
      <c r="E152" s="217"/>
      <c r="F152" s="219" t="str">
        <f>IF(ok_pp=1,VLOOKUP(knr,Bilagtab1,30)," ")</f>
        <v> </v>
      </c>
      <c r="G152" s="219" t="str">
        <f>IF(OK_P=1,VLOOKUP(knr,Bilagtab1,30)," ---------- ")</f>
        <v> ---------- </v>
      </c>
      <c r="H152" s="227" t="str">
        <f t="shared" si="7"/>
        <v> 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</row>
    <row r="153" spans="1:50" s="27" customFormat="1" ht="12.75" customHeight="1">
      <c r="A153" s="23"/>
      <c r="B153" s="213" t="s">
        <v>417</v>
      </c>
      <c r="C153" s="236"/>
      <c r="D153" s="236"/>
      <c r="E153" s="236"/>
      <c r="F153" s="212" t="str">
        <f>IF(ok_pp=1,+SUM(F154:F155)," ")</f>
        <v> </v>
      </c>
      <c r="G153" s="212" t="str">
        <f>IF(OK_P=1,+SUM(G154:G155),"---------- ")</f>
        <v>---------- </v>
      </c>
      <c r="H153" s="237" t="str">
        <f t="shared" si="7"/>
        <v> 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</row>
    <row r="154" spans="1:50" s="27" customFormat="1" ht="12.75" customHeight="1">
      <c r="A154" s="23"/>
      <c r="B154" s="213"/>
      <c r="C154" s="182" t="s">
        <v>375</v>
      </c>
      <c r="D154" s="182"/>
      <c r="E154" s="182"/>
      <c r="F154" s="215" t="str">
        <f>IF(ok_pp=1,VLOOKUP(knr,Bilagtab1,47)," ")</f>
        <v> </v>
      </c>
      <c r="G154" s="215" t="str">
        <f>IF(OK_P=1,VLOOKUP(knr,Bilagtab1,47)," ---------- ")</f>
        <v> ---------- </v>
      </c>
      <c r="H154" s="235" t="str">
        <f t="shared" si="7"/>
        <v> 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</row>
    <row r="155" spans="1:50" s="27" customFormat="1" ht="12.75" customHeight="1">
      <c r="A155" s="23"/>
      <c r="B155" s="216"/>
      <c r="C155" s="217" t="s">
        <v>376</v>
      </c>
      <c r="D155" s="217"/>
      <c r="E155" s="217"/>
      <c r="F155" s="219" t="str">
        <f>IF(ok_pp=1,VLOOKUP(knr,Bilagtab1,48)," ")</f>
        <v> </v>
      </c>
      <c r="G155" s="219" t="str">
        <f>IF(OK_P=1,VLOOKUP(knr,Bilagtab1,48)," ---------- ")</f>
        <v> ---------- </v>
      </c>
      <c r="H155" s="227" t="str">
        <f t="shared" si="7"/>
        <v> 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</row>
    <row r="156" spans="1:50" s="27" customFormat="1" ht="12.75" customHeight="1">
      <c r="A156" s="23"/>
      <c r="B156" s="228" t="s">
        <v>396</v>
      </c>
      <c r="C156" s="229"/>
      <c r="D156" s="229"/>
      <c r="E156" s="229"/>
      <c r="F156" s="230" t="str">
        <f>IF(ok_pp=1,+F114+F116+F119+F124+F128+F126+F136+F130+F132+F142+F140+F138+F144+F146+F149+F151+F153," ")</f>
        <v> </v>
      </c>
      <c r="G156" s="230" t="str">
        <f>IF(OK_P=1,+G114+G116+G119+G124+G128+G126+G136+G130+G132+G142+G140+G138+G144+G146+G149+G151+G153," ---------- ")</f>
        <v> ---------- </v>
      </c>
      <c r="H156" s="231" t="str">
        <f>IF(ok_pp=1,+F156-G156," ")</f>
        <v> 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</row>
    <row r="157" spans="1:50" s="27" customFormat="1" ht="12.75" customHeight="1">
      <c r="A157" s="23"/>
      <c r="B157" s="34"/>
      <c r="C157" s="34"/>
      <c r="D157" s="34"/>
      <c r="E157" s="34"/>
      <c r="F157" s="40"/>
      <c r="G157" s="41"/>
      <c r="H157" s="40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</row>
    <row r="158" spans="1:50" s="27" customFormat="1" ht="12.75" customHeight="1">
      <c r="A158" s="23"/>
      <c r="B158" s="228" t="str">
        <f>+"7.80, 7.81 og 7.86 I alt, til afregning i "&amp;aar&amp;" (del I + del II)"</f>
        <v>7.80, 7.81 og 7.86 I alt, til afregning i 2021 (del I + del II)</v>
      </c>
      <c r="C158" s="229"/>
      <c r="D158" s="229"/>
      <c r="E158" s="229"/>
      <c r="F158" s="230" t="str">
        <f>IF(ok_pp=1,+F92+F102+F156," ")</f>
        <v> </v>
      </c>
      <c r="G158" s="230" t="str">
        <f>IF(OK_P=1,+G92+G102+G156,"---------- ")</f>
        <v>---------- </v>
      </c>
      <c r="H158" s="231" t="str">
        <f>IF(ok_pp=1,+F158-G158," ")</f>
        <v> 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</row>
    <row r="159" spans="1:50" s="27" customFormat="1" ht="12.75" customHeight="1">
      <c r="A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</row>
    <row r="160" spans="1:50" s="27" customFormat="1" ht="12.75" customHeight="1">
      <c r="A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</row>
    <row r="161" spans="1:50" s="27" customFormat="1" ht="12.75" customHeight="1">
      <c r="A161" s="23"/>
      <c r="B161" s="34"/>
      <c r="C161" s="34"/>
      <c r="D161" s="34"/>
      <c r="E161" s="34"/>
      <c r="F161" s="34"/>
      <c r="G161" s="34"/>
      <c r="H161" s="34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</row>
    <row r="162" spans="1:50" s="27" customFormat="1" ht="20.25" customHeight="1">
      <c r="A162" s="23"/>
      <c r="B162" s="259" t="s">
        <v>128</v>
      </c>
      <c r="C162" s="259"/>
      <c r="D162" s="259"/>
      <c r="E162" s="259"/>
      <c r="F162" s="259"/>
      <c r="G162" s="259"/>
      <c r="H162" s="259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</row>
    <row r="163" spans="1:50" s="27" customFormat="1" ht="12.75" customHeight="1">
      <c r="A163" s="23"/>
      <c r="B163" s="260"/>
      <c r="C163" s="260"/>
      <c r="D163" s="260"/>
      <c r="E163" s="260"/>
      <c r="F163" s="260"/>
      <c r="G163" s="260"/>
      <c r="H163" s="260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</row>
    <row r="164" spans="1:50" s="27" customFormat="1" ht="12.75" customHeight="1">
      <c r="A164" s="23"/>
      <c r="B164" s="24"/>
      <c r="C164" s="28"/>
      <c r="D164" s="25"/>
      <c r="E164" s="38"/>
      <c r="F164" s="32"/>
      <c r="G164" s="25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</row>
    <row r="165" spans="1:50" s="27" customFormat="1" ht="12.75" customHeight="1">
      <c r="A165" s="23"/>
      <c r="B165" s="125" t="str">
        <f>"Bilag A:   Komnr.  "&amp;TEXT(knr,0)&amp;"  "&amp;$D$5</f>
        <v>Bilag A:   Komnr.  0  Ugyldigt kommunenr. </v>
      </c>
      <c r="C165" s="138"/>
      <c r="D165" s="138"/>
      <c r="E165" s="138"/>
      <c r="F165" s="138"/>
      <c r="G165" s="138"/>
      <c r="H165" s="138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</row>
    <row r="166" spans="1:50" s="27" customFormat="1" ht="12.75" customHeight="1">
      <c r="A166" s="23"/>
      <c r="B166" s="125" t="str">
        <f>"Beregningsvejledning til opgørelse af kommunens beskatningsgrundlag "&amp;aar</f>
        <v>Beregningsvejledning til opgørelse af kommunens beskatningsgrundlag 2021</v>
      </c>
      <c r="C166" s="138"/>
      <c r="D166" s="138"/>
      <c r="E166" s="138"/>
      <c r="F166" s="138"/>
      <c r="G166" s="138"/>
      <c r="H166" s="138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</row>
    <row r="167" spans="1:50" s="27" customFormat="1" ht="12.75" customHeight="1">
      <c r="A167" s="23"/>
      <c r="B167" s="209"/>
      <c r="C167" s="210"/>
      <c r="D167" s="210"/>
      <c r="E167" s="210"/>
      <c r="F167" s="210"/>
      <c r="G167" s="238" t="s">
        <v>3</v>
      </c>
      <c r="H167" s="239" t="s">
        <v>5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</row>
    <row r="168" spans="1:50" s="27" customFormat="1" ht="12.75" customHeight="1">
      <c r="A168" s="23"/>
      <c r="B168" s="240" t="s">
        <v>13</v>
      </c>
      <c r="C168" s="236"/>
      <c r="D168" s="236"/>
      <c r="E168" s="236"/>
      <c r="F168" s="236"/>
      <c r="G168" s="241" t="s">
        <v>4</v>
      </c>
      <c r="H168" s="242" t="s">
        <v>8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</row>
    <row r="169" spans="1:50" s="27" customFormat="1" ht="12.75" customHeight="1">
      <c r="A169" s="23"/>
      <c r="B169" s="216"/>
      <c r="C169" s="243"/>
      <c r="D169" s="243"/>
      <c r="E169" s="243"/>
      <c r="F169" s="243"/>
      <c r="G169" s="244" t="s">
        <v>10</v>
      </c>
      <c r="H169" s="245" t="s">
        <v>11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</row>
    <row r="170" spans="1:50" s="27" customFormat="1" ht="12.75" customHeight="1">
      <c r="A170" s="23"/>
      <c r="B170" s="246" t="str">
        <f>"A.01 Indkomstskat (jf. pkt 1.01)"</f>
        <v>A.01 Indkomstskat (jf. pkt 1.01)</v>
      </c>
      <c r="C170" s="247"/>
      <c r="D170" s="247"/>
      <c r="E170" s="247"/>
      <c r="F170" s="248"/>
      <c r="G170" s="249" t="str">
        <f>IF(ok_pp=1,+F24," ")</f>
        <v> </v>
      </c>
      <c r="H170" s="249" t="str">
        <f>IF(OK_P=1,VLOOKUP(knr,Bilagtab2,4),"---------- ")</f>
        <v>---------- 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</row>
    <row r="171" spans="1:50" s="27" customFormat="1" ht="12.75" customHeight="1">
      <c r="A171" s="23"/>
      <c r="B171" s="233" t="str">
        <f>"A.02 Udskrivningsprocent "&amp;aar&amp;" (jf. pkt 1.02)"</f>
        <v>A.02 Udskrivningsprocent 2021 (jf. pkt 1.02)</v>
      </c>
      <c r="C171" s="182"/>
      <c r="D171" s="182"/>
      <c r="E171" s="182"/>
      <c r="F171" s="214"/>
      <c r="G171" s="250" t="str">
        <f>IF(ok_pp=1,F25," ")</f>
        <v> </v>
      </c>
      <c r="H171" s="250" t="str">
        <f>IF(OK_P=1,VLOOKUP(knr,Bilagtab2,3),"---------- ")</f>
        <v>---------- 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</row>
    <row r="172" spans="1:50" s="27" customFormat="1" ht="12.75" customHeight="1">
      <c r="A172" s="23"/>
      <c r="B172" s="233" t="str">
        <f>"A.03 Udskrivningsgrundlag "&amp;aar&amp;" (pkt. A.01/A.02) "</f>
        <v>A.03 Udskrivningsgrundlag 2021 (pkt. A.01/A.02) </v>
      </c>
      <c r="C172" s="182"/>
      <c r="D172" s="182"/>
      <c r="E172" s="182"/>
      <c r="F172" s="214"/>
      <c r="G172" s="215" t="str">
        <f>IF(ok_pp=1,ROUND(+F24/(F25/100),0)," ")</f>
        <v> </v>
      </c>
      <c r="H172" s="215" t="str">
        <f>IF(OK_P=1,VLOOKUP(knr,Bilagtab2,5),"---------- ")</f>
        <v>---------- 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</row>
    <row r="173" spans="1:50" s="27" customFormat="1" ht="12.75" customHeight="1">
      <c r="A173" s="23"/>
      <c r="B173" s="233" t="str">
        <f>"A.04a Grundværdier vedr. øvrige ejendomme jf. pkt 1.03"</f>
        <v>A.04a Grundværdier vedr. øvrige ejendomme jf. pkt 1.03</v>
      </c>
      <c r="C173" s="182"/>
      <c r="D173" s="182"/>
      <c r="E173" s="182"/>
      <c r="F173" s="214"/>
      <c r="G173" s="215" t="str">
        <f>IF(ok_pp=1,F26," ")</f>
        <v> </v>
      </c>
      <c r="H173" s="215" t="str">
        <f>IF(OK_P=1,VLOOKUP(knr,Bilagtab2,9),"---------- ")</f>
        <v>---------- 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</row>
    <row r="174" spans="1:50" s="27" customFormat="1" ht="12.75" customHeight="1">
      <c r="A174" s="23"/>
      <c r="B174" s="233" t="str">
        <f>"A.04b "&amp;TEXT(100*'Bilag 3'!D19,"0,00")&amp;" % af grundværdier vedr. øvrige ejendomme (jf. A.04a)"</f>
        <v>A.04b 10,47 % af grundværdier vedr. øvrige ejendomme (jf. A.04a)</v>
      </c>
      <c r="C174" s="182"/>
      <c r="D174" s="182"/>
      <c r="E174" s="182"/>
      <c r="F174" s="214"/>
      <c r="G174" s="215" t="str">
        <f>IF(ok_pp=1,ROUND(('Bilag 3'!D19)*F26,0)," ")</f>
        <v> </v>
      </c>
      <c r="H174" s="215" t="str">
        <f>IF(OK_P=1,ROUND(('Bilag 3'!D19)*(VLOOKUP(knr,Bilagtab2,9)),0),"---------- ")</f>
        <v>---------- 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</row>
    <row r="175" spans="1:50" s="27" customFormat="1" ht="12.75" customHeight="1">
      <c r="A175" s="23"/>
      <c r="B175" s="233" t="str">
        <f>"A.05a Grundværdier vedr. produktionsjord. pkt 1.04"</f>
        <v>A.05a Grundværdier vedr. produktionsjord. pkt 1.04</v>
      </c>
      <c r="C175" s="182"/>
      <c r="D175" s="182"/>
      <c r="E175" s="182"/>
      <c r="F175" s="214"/>
      <c r="G175" s="215" t="str">
        <f>IF(ok_pp=1,F27," ")</f>
        <v> </v>
      </c>
      <c r="H175" s="215" t="str">
        <f>IF(OK_P=1,VLOOKUP(knr,Bilagtab2,10),"---------- ")</f>
        <v>---------- 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</row>
    <row r="176" spans="1:50" s="27" customFormat="1" ht="12.75" customHeight="1">
      <c r="A176" s="23"/>
      <c r="B176" s="233" t="str">
        <f>"A.05b "&amp;TEXT(100*'Bilag 3'!D17," 0,00")&amp;" % af grundværdier vedr. produktionsjord (jf. A.05a)"</f>
        <v>A.05b  2,75 % af grundværdier vedr. produktionsjord (jf. A.05a)</v>
      </c>
      <c r="C176" s="182"/>
      <c r="D176" s="182"/>
      <c r="E176" s="182"/>
      <c r="F176" s="214"/>
      <c r="G176" s="215" t="str">
        <f>IF(ok_pp=1,ROUND(('Bilag 3'!D17)*F27,0)," ")</f>
        <v> </v>
      </c>
      <c r="H176" s="215" t="str">
        <f>IF(OK_P=1,ROUND(('Bilag 3'!D17)*(VLOOKUP(knr,Bilagtab2,10)),0),"---------- ")</f>
        <v>---------- 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</row>
    <row r="177" spans="1:50" s="27" customFormat="1" ht="12.75" customHeight="1">
      <c r="A177" s="23"/>
      <c r="B177" s="233" t="str">
        <f>"A.06 Beskatningsgrundlag "&amp;aar&amp;" i 1.000 kr."</f>
        <v>A.06 Beskatningsgrundlag 2021 i 1.000 kr.</v>
      </c>
      <c r="C177" s="182"/>
      <c r="D177" s="182"/>
      <c r="E177" s="182"/>
      <c r="F177" s="214"/>
      <c r="G177" s="215" t="str">
        <f>IF(ok_pp=1,+G172+G174+G176," ")</f>
        <v> </v>
      </c>
      <c r="H177" s="215" t="str">
        <f>IF(OK_P=1,VLOOKUP(knr,Bilagtab2,11),"---------- ")</f>
        <v>---------- 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</row>
    <row r="178" spans="1:50" s="27" customFormat="1" ht="12.75" customHeight="1">
      <c r="A178" s="23"/>
      <c r="B178" s="233" t="str">
        <f>"A.07 Folketal (jf. pkt. 1.05)"</f>
        <v>A.07 Folketal (jf. pkt. 1.05)</v>
      </c>
      <c r="C178" s="182"/>
      <c r="D178" s="182"/>
      <c r="E178" s="182"/>
      <c r="F178" s="214"/>
      <c r="G178" s="215" t="str">
        <f>IF(ok_pp=1,F28," ")</f>
        <v> </v>
      </c>
      <c r="H178" s="215" t="str">
        <f>IF(OK_P=1,VLOOKUP(knr,Bilagtab2,13),"---------- ")</f>
        <v>---------- 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</row>
    <row r="179" spans="1:50" s="27" customFormat="1" ht="12.75" customHeight="1">
      <c r="A179" s="23"/>
      <c r="B179" s="234" t="str">
        <f>"A.08 Beskatningsgrundlag i kr. pr. indb. "</f>
        <v>A.08 Beskatningsgrundlag i kr. pr. indb. </v>
      </c>
      <c r="C179" s="217"/>
      <c r="D179" s="217"/>
      <c r="E179" s="217"/>
      <c r="F179" s="218"/>
      <c r="G179" s="251" t="str">
        <f>IF(ok_pp=1,G177/F28," ")</f>
        <v> </v>
      </c>
      <c r="H179" s="251" t="str">
        <f>IF(OK_P=1,H177/H178,"---------- ")</f>
        <v>---------- 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</row>
    <row r="180" spans="1:50" s="27" customFormat="1" ht="12.75" customHeight="1">
      <c r="A180" s="23"/>
      <c r="B180" s="104" t="s">
        <v>386</v>
      </c>
      <c r="C180" s="25"/>
      <c r="D180" s="25"/>
      <c r="E180" s="25"/>
      <c r="F180" s="25"/>
      <c r="G180" s="25"/>
      <c r="H180" s="25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</row>
    <row r="181" spans="1:50" s="27" customFormat="1" ht="12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</row>
    <row r="182" spans="1:50" s="27" customFormat="1" ht="12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</row>
    <row r="183" spans="1:50" s="27" customFormat="1" ht="12.75" customHeight="1">
      <c r="A183" s="23"/>
      <c r="B183" s="125" t="str">
        <f>"Bilag B:   Komnr.  "&amp;TEXT(knr,0)&amp;"  "&amp;$D$5</f>
        <v>Bilag B:   Komnr.  0  Ugyldigt kommunenr. </v>
      </c>
      <c r="C183" s="138"/>
      <c r="D183" s="138"/>
      <c r="E183" s="138"/>
      <c r="F183" s="138"/>
      <c r="G183" s="138"/>
      <c r="H183" s="138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</row>
    <row r="184" spans="1:50" s="27" customFormat="1" ht="12.75" customHeight="1">
      <c r="A184" s="23"/>
      <c r="B184" s="125" t="str">
        <f>"Udligning af beskatningsgrundlag "&amp;aar</f>
        <v>Udligning af beskatningsgrundlag 2021</v>
      </c>
      <c r="C184" s="138"/>
      <c r="D184" s="138"/>
      <c r="E184" s="138"/>
      <c r="F184" s="138"/>
      <c r="G184" s="138"/>
      <c r="H184" s="138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</row>
    <row r="185" spans="1:50" s="27" customFormat="1" ht="12.75" customHeight="1">
      <c r="A185" s="23"/>
      <c r="B185" s="209"/>
      <c r="C185" s="210"/>
      <c r="D185" s="210"/>
      <c r="E185" s="210"/>
      <c r="F185" s="210"/>
      <c r="G185" s="238" t="s">
        <v>3</v>
      </c>
      <c r="H185" s="239" t="s">
        <v>5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</row>
    <row r="186" spans="1:50" s="27" customFormat="1" ht="12.75" customHeight="1">
      <c r="A186" s="23"/>
      <c r="B186" s="240" t="s">
        <v>13</v>
      </c>
      <c r="C186" s="236"/>
      <c r="D186" s="236"/>
      <c r="E186" s="236"/>
      <c r="F186" s="236"/>
      <c r="G186" s="241" t="s">
        <v>4</v>
      </c>
      <c r="H186" s="242" t="s">
        <v>8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</row>
    <row r="187" spans="1:50" s="27" customFormat="1" ht="12.75" customHeight="1">
      <c r="A187" s="23"/>
      <c r="B187" s="216"/>
      <c r="C187" s="243"/>
      <c r="D187" s="243"/>
      <c r="E187" s="243"/>
      <c r="F187" s="243"/>
      <c r="G187" s="244" t="s">
        <v>10</v>
      </c>
      <c r="H187" s="245" t="s">
        <v>11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</row>
    <row r="188" spans="1:50" s="27" customFormat="1" ht="12.75" customHeight="1">
      <c r="A188" s="23"/>
      <c r="B188" s="246" t="str">
        <f>"B.01 Kommunens beskatningsgrundlag i kr. pr. indb. Jf A.08"</f>
        <v>B.01 Kommunens beskatningsgrundlag i kr. pr. indb. Jf A.08</v>
      </c>
      <c r="C188" s="247"/>
      <c r="D188" s="247"/>
      <c r="E188" s="247"/>
      <c r="F188" s="248"/>
      <c r="G188" s="252" t="str">
        <f>IF(ok_pp=1,+G179," ")</f>
        <v> </v>
      </c>
      <c r="H188" s="252" t="str">
        <f>IF(OK_P=1,+H179,"---------- ")</f>
        <v>---------- 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</row>
    <row r="189" spans="1:50" s="27" customFormat="1" ht="12.75" customHeight="1">
      <c r="A189" s="23"/>
      <c r="B189" s="234" t="str">
        <f>"B.02 Gennemsnitligt beskatningsgrundlag pr. indbygger"</f>
        <v>B.02 Gennemsnitligt beskatningsgrundlag pr. indbygger</v>
      </c>
      <c r="C189" s="217"/>
      <c r="D189" s="217"/>
      <c r="E189" s="217"/>
      <c r="F189" s="218"/>
      <c r="G189" s="251" t="str">
        <f>IF(OK_P=1,'Bilag 3'!$C$20/'Bilag 3'!$C$23,"---------- ")</f>
        <v>---------- </v>
      </c>
      <c r="H189" s="251" t="str">
        <f>IF(OK_P=1,'Bilag 3'!$C$20/'Bilag 3'!$C$23,"---------- ")</f>
        <v>---------- 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</row>
    <row r="190" spans="1:50" s="27" customFormat="1" ht="12.75" customHeight="1">
      <c r="A190" s="23"/>
      <c r="B190" s="233" t="str">
        <f>"B.03 Forskel (pkt. B.02 - B.01)"</f>
        <v>B.03 Forskel (pkt. B.02 - B.01)</v>
      </c>
      <c r="C190" s="182"/>
      <c r="D190" s="182"/>
      <c r="E190" s="182"/>
      <c r="F190" s="214"/>
      <c r="G190" s="253" t="str">
        <f>IF(ok_pp=1,+G189-G188," ---------- ")</f>
        <v> ---------- </v>
      </c>
      <c r="H190" s="253" t="str">
        <f>IF(OK_P=1,+H189-H188,"---------- ")</f>
        <v>---------- 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</row>
    <row r="191" spans="1:50" s="27" customFormat="1" ht="12.75" customHeight="1">
      <c r="A191" s="23"/>
      <c r="B191" s="233" t="str">
        <f>"B.04 Skattetryksfaktor "</f>
        <v>B.04 Skattetryksfaktor </v>
      </c>
      <c r="C191" s="182"/>
      <c r="D191" s="182"/>
      <c r="E191" s="182"/>
      <c r="F191" s="214"/>
      <c r="G191" s="254" t="str">
        <f>IF(OK_P=1,'Bilag 3'!$C$21/'Bilag 3'!$C$20,"---------- ")</f>
        <v>---------- </v>
      </c>
      <c r="H191" s="254" t="str">
        <f>IF(OK_P=1,'Bilag 3'!$C$21/'Bilag 3'!$C$20,"---------- ")</f>
        <v>---------- 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</row>
    <row r="192" spans="1:50" s="27" customFormat="1" ht="12.75" customHeight="1">
      <c r="A192" s="23"/>
      <c r="B192" s="233" t="str">
        <f>"B.05 Udligningsprocent "</f>
        <v>B.05 Udligningsprocent </v>
      </c>
      <c r="C192" s="182"/>
      <c r="D192" s="182"/>
      <c r="E192" s="182"/>
      <c r="F192" s="214"/>
      <c r="G192" s="254" t="str">
        <f>IF(OK_P=1,'Bilag 3'!$D$27,"---------- ")</f>
        <v>---------- </v>
      </c>
      <c r="H192" s="254" t="str">
        <f>IF(OK_P=1,'Bilag 3'!$D$27,"---------- ")</f>
        <v>---------- 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</row>
    <row r="193" spans="1:50" s="27" customFormat="1" ht="12.75" customHeight="1">
      <c r="A193" s="23"/>
      <c r="B193" s="233" t="str">
        <f>"B.06 Kommunens folketal 1.1."&amp;aar&amp;" (jf. pkt. 1.05)"</f>
        <v>B.06 Kommunens folketal 1.1.2021 (jf. pkt. 1.05)</v>
      </c>
      <c r="C193" s="182"/>
      <c r="D193" s="182"/>
      <c r="E193" s="182"/>
      <c r="F193" s="214"/>
      <c r="G193" s="215" t="str">
        <f>IF(ok_pp=1,F28," ")</f>
        <v> </v>
      </c>
      <c r="H193" s="215" t="str">
        <f>IF(OK_P=1,VLOOKUP(knr,Bilagtab2,13),"---------- ")</f>
        <v>---------- 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</row>
    <row r="194" spans="1:50" s="27" customFormat="1" ht="12.75" customHeight="1">
      <c r="A194" s="23"/>
      <c r="B194" s="233" t="str">
        <f>"B.07 Beregnet udligningsbeløb (B.03 x B.04 x B.05 x B.06) "</f>
        <v>B.07 Beregnet udligningsbeløb (B.03 x B.04 x B.05 x B.06) </v>
      </c>
      <c r="C194" s="182"/>
      <c r="D194" s="182"/>
      <c r="E194" s="182"/>
      <c r="F194" s="214"/>
      <c r="G194" s="215" t="str">
        <f>IF(ok_pp=1,+G190*G191*G192*G193," ")</f>
        <v> </v>
      </c>
      <c r="H194" s="215" t="str">
        <f>IF(OK_P=1,+H190*H191*H192*H193,"---------- ")</f>
        <v>---------- 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</row>
    <row r="195" spans="1:50" s="27" customFormat="1" ht="12.75" customHeight="1">
      <c r="A195" s="23"/>
      <c r="B195" s="234" t="str">
        <f>"B.08 12-Afrundet udligningsbeløb  "</f>
        <v>B.08 12-Afrundet udligningsbeløb  </v>
      </c>
      <c r="C195" s="217"/>
      <c r="D195" s="217"/>
      <c r="E195" s="217"/>
      <c r="F195" s="218"/>
      <c r="G195" s="219" t="str">
        <f>IF(ok_pp=1,12*ROUND(G194/12,0)," ")</f>
        <v> </v>
      </c>
      <c r="H195" s="219" t="str">
        <f>IF(OK_P=1,VLOOKUP(knr,Bilagtab1,3),"---------- ")</f>
        <v>---------- 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</row>
    <row r="196" spans="1:50" s="27" customFormat="1" ht="12.75" customHeight="1">
      <c r="A196" s="23"/>
      <c r="B196" s="104" t="s">
        <v>152</v>
      </c>
      <c r="C196" s="25"/>
      <c r="D196" s="25"/>
      <c r="E196" s="25"/>
      <c r="F196" s="25"/>
      <c r="G196" s="25"/>
      <c r="H196" s="25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</row>
    <row r="197" spans="1:50" s="27" customFormat="1" ht="12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</row>
    <row r="198" spans="1:50" s="27" customFormat="1" ht="12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</row>
    <row r="199" spans="1:50" s="27" customFormat="1" ht="12.75" customHeight="1">
      <c r="A199" s="23"/>
      <c r="B199" s="125" t="str">
        <f>"Bilag C:   Komnr.  "&amp;TEXT(knr,0)&amp;"  "&amp;$D$5</f>
        <v>Bilag C:   Komnr.  0  Ugyldigt kommunenr. </v>
      </c>
      <c r="C199" s="138"/>
      <c r="D199" s="138"/>
      <c r="E199" s="138"/>
      <c r="F199" s="138"/>
      <c r="G199" s="138"/>
      <c r="H199" s="138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</row>
    <row r="200" spans="1:50" s="27" customFormat="1" ht="12.75" customHeight="1">
      <c r="A200" s="23"/>
      <c r="B200" s="125" t="str">
        <f>"Tillæg for kommuner med lavt beskatningsgrundlag "&amp;aar</f>
        <v>Tillæg for kommuner med lavt beskatningsgrundlag 2021</v>
      </c>
      <c r="C200" s="138"/>
      <c r="D200" s="138"/>
      <c r="E200" s="138"/>
      <c r="F200" s="138"/>
      <c r="G200" s="138"/>
      <c r="H200" s="138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</row>
    <row r="201" spans="1:50" s="27" customFormat="1" ht="12.75" customHeight="1">
      <c r="A201" s="23"/>
      <c r="B201" s="209"/>
      <c r="C201" s="210"/>
      <c r="D201" s="210"/>
      <c r="E201" s="210"/>
      <c r="F201" s="210"/>
      <c r="G201" s="238" t="s">
        <v>3</v>
      </c>
      <c r="H201" s="239" t="s">
        <v>5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</row>
    <row r="202" spans="1:50" s="27" customFormat="1" ht="12.75" customHeight="1">
      <c r="A202" s="23"/>
      <c r="B202" s="240" t="s">
        <v>13</v>
      </c>
      <c r="C202" s="236"/>
      <c r="D202" s="236"/>
      <c r="E202" s="236"/>
      <c r="F202" s="236"/>
      <c r="G202" s="241" t="s">
        <v>4</v>
      </c>
      <c r="H202" s="242" t="s">
        <v>8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</row>
    <row r="203" spans="1:50" s="27" customFormat="1" ht="12.75" customHeight="1">
      <c r="A203" s="23"/>
      <c r="B203" s="216"/>
      <c r="C203" s="243"/>
      <c r="D203" s="243"/>
      <c r="E203" s="243"/>
      <c r="F203" s="243"/>
      <c r="G203" s="244" t="s">
        <v>10</v>
      </c>
      <c r="H203" s="245" t="s">
        <v>11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</row>
    <row r="204" spans="1:50" s="27" customFormat="1" ht="12.75" customHeight="1">
      <c r="A204" s="23"/>
      <c r="B204" s="246" t="str">
        <f>"C.01 Kommunens beskatningsgrundlag i kr. pr. indb. Jf A.08"</f>
        <v>C.01 Kommunens beskatningsgrundlag i kr. pr. indb. Jf A.08</v>
      </c>
      <c r="C204" s="247"/>
      <c r="D204" s="247"/>
      <c r="E204" s="247"/>
      <c r="F204" s="248"/>
      <c r="G204" s="252" t="str">
        <f>IF(ok_pp=1,+G179," ---------- ")</f>
        <v> ---------- </v>
      </c>
      <c r="H204" s="252" t="str">
        <f>IF(OK_P=1,+H179,"---------- ")</f>
        <v>---------- 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</row>
    <row r="205" spans="1:50" s="27" customFormat="1" ht="12.75" customHeight="1">
      <c r="A205" s="23"/>
      <c r="B205" s="234" t="str">
        <f>"C.02 "&amp;TEXT(100*'Bilag 3'!D25,"0,0")&amp;" % af gennemsnitligt beskatningegrundlag pr. indbygger"</f>
        <v>C.02 90,0 % af gennemsnitligt beskatningegrundlag pr. indbygger</v>
      </c>
      <c r="C205" s="217"/>
      <c r="D205" s="217"/>
      <c r="E205" s="217"/>
      <c r="F205" s="218"/>
      <c r="G205" s="251" t="str">
        <f>IF(OK_P=1,'Bilag 3'!$D$25*'Bilag 3'!$C$20/'Bilag 3'!$C$23,"---------- ")</f>
        <v>---------- </v>
      </c>
      <c r="H205" s="251" t="str">
        <f>IF(OK_P=1,'Bilag 3'!$D$25*'Bilag 3'!$C$20/'Bilag 3'!$C$23,"---------- ")</f>
        <v>---------- 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</row>
    <row r="206" spans="1:50" s="27" customFormat="1" ht="12.75" customHeight="1">
      <c r="A206" s="23"/>
      <c r="B206" s="233" t="str">
        <f>"C.03 positiv forskel (pkt. B.02 - B.01)"</f>
        <v>C.03 positiv forskel (pkt. B.02 - B.01)</v>
      </c>
      <c r="C206" s="182"/>
      <c r="D206" s="182"/>
      <c r="E206" s="182"/>
      <c r="F206" s="214"/>
      <c r="G206" s="253" t="str">
        <f>IF(ok_pp=1,IF(+G205-G204&gt;0,G205-G204,0)," ")</f>
        <v> </v>
      </c>
      <c r="H206" s="253" t="str">
        <f>IF(OK_P=1,IF(+H205-H204&gt;0,H205-H204,)," ---------- ")</f>
        <v> ---------- 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</row>
    <row r="207" spans="1:50" s="27" customFormat="1" ht="12.75" customHeight="1">
      <c r="A207" s="23"/>
      <c r="B207" s="233" t="str">
        <f>"C.04 Skattetryksfaktor "</f>
        <v>C.04 Skattetryksfaktor </v>
      </c>
      <c r="C207" s="182"/>
      <c r="D207" s="182"/>
      <c r="E207" s="182"/>
      <c r="F207" s="214"/>
      <c r="G207" s="254" t="str">
        <f>IF(OK_P=1,'Bilag 3'!$C$21/'Bilag 3'!$C$20,"---------- ")</f>
        <v>---------- </v>
      </c>
      <c r="H207" s="254" t="str">
        <f>IF(OK_P=1,'Bilag 3'!$C$21/'Bilag 3'!$C$20,"---------- ")</f>
        <v>---------- 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</row>
    <row r="208" spans="1:50" s="27" customFormat="1" ht="12.75" customHeight="1">
      <c r="A208" s="23"/>
      <c r="B208" s="233" t="str">
        <f>"C.05 Udligningsprocent "</f>
        <v>C.05 Udligningsprocent </v>
      </c>
      <c r="C208" s="182"/>
      <c r="D208" s="182"/>
      <c r="E208" s="182"/>
      <c r="F208" s="214"/>
      <c r="G208" s="254" t="str">
        <f>IF(OK_P=1,'Bilag 3'!$D$28,"---------- ")</f>
        <v>---------- </v>
      </c>
      <c r="H208" s="254" t="str">
        <f>IF(OK_P=1,'Bilag 3'!$D$28,"---------- ")</f>
        <v>---------- 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</row>
    <row r="209" spans="1:50" s="27" customFormat="1" ht="12.75" customHeight="1">
      <c r="A209" s="23"/>
      <c r="B209" s="233" t="str">
        <f>"C.06 Kommunens folketal 1.1."&amp;aar&amp;" (jf. pkt. 1.05)"</f>
        <v>C.06 Kommunens folketal 1.1.2021 (jf. pkt. 1.05)</v>
      </c>
      <c r="C209" s="182"/>
      <c r="D209" s="182"/>
      <c r="E209" s="182"/>
      <c r="F209" s="214"/>
      <c r="G209" s="215" t="str">
        <f>IF(ok_pp=1,F28," ")</f>
        <v> </v>
      </c>
      <c r="H209" s="215" t="str">
        <f>IF(OK_P=1,VLOOKUP(knr,Bilagtab2,13),"---------- ")</f>
        <v>---------- 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</row>
    <row r="210" spans="1:50" s="27" customFormat="1" ht="12.75" customHeight="1">
      <c r="A210" s="23"/>
      <c r="B210" s="233" t="str">
        <f>"C.07 Beregnet udligningsbeløb (C.03 x C.04 x C.05 x C.06) "</f>
        <v>C.07 Beregnet udligningsbeløb (C.03 x C.04 x C.05 x C.06) </v>
      </c>
      <c r="C210" s="182"/>
      <c r="D210" s="182"/>
      <c r="E210" s="182"/>
      <c r="F210" s="214"/>
      <c r="G210" s="215" t="str">
        <f>IF(ok_pp=1,+G206*G207*G208*G209," ")</f>
        <v> </v>
      </c>
      <c r="H210" s="215" t="str">
        <f>IF(OK_P=1,+H206*H207*H208*H209,"---------- ")</f>
        <v>---------- 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</row>
    <row r="211" spans="1:50" s="27" customFormat="1" ht="12.75" customHeight="1">
      <c r="A211" s="23"/>
      <c r="B211" s="234" t="str">
        <f>"C.08 12-Afrundet udligningsbeløb    "</f>
        <v>C.08 12-Afrundet udligningsbeløb    </v>
      </c>
      <c r="C211" s="217"/>
      <c r="D211" s="217"/>
      <c r="E211" s="217"/>
      <c r="F211" s="218"/>
      <c r="G211" s="219" t="str">
        <f>IF(ok_pp=1,12*ROUND(G210/12,0)," ")</f>
        <v> </v>
      </c>
      <c r="H211" s="219" t="str">
        <f>IF(OK_P=1,VLOOKUP(knr,Bilagtab1,4),"---------- ")</f>
        <v>---------- 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</row>
    <row r="212" spans="1:50" s="27" customFormat="1" ht="12.75" customHeight="1">
      <c r="A212" s="23"/>
      <c r="B212" s="104" t="s">
        <v>152</v>
      </c>
      <c r="C212" s="25"/>
      <c r="D212" s="25"/>
      <c r="E212" s="25"/>
      <c r="F212" s="25"/>
      <c r="G212" s="25"/>
      <c r="H212" s="25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</row>
    <row r="213" spans="1:50" s="27" customFormat="1" ht="12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</row>
    <row r="214" spans="1:50" s="27" customFormat="1" ht="12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</row>
    <row r="215" spans="1:50" s="27" customFormat="1" ht="12.75" customHeight="1">
      <c r="A215" s="23"/>
      <c r="B215" s="125" t="str">
        <f>"Bilag D:   Komnr.  "&amp;TEXT(knr,0)&amp;"  "&amp;$D$5</f>
        <v>Bilag D:   Komnr.  0  Ugyldigt kommunenr. </v>
      </c>
      <c r="C215" s="138"/>
      <c r="D215" s="138"/>
      <c r="E215" s="138"/>
      <c r="F215" s="138"/>
      <c r="G215" s="138"/>
      <c r="H215" s="138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</row>
    <row r="216" spans="1:50" s="27" customFormat="1" ht="12.75" customHeight="1">
      <c r="A216" s="23"/>
      <c r="B216" s="125" t="str">
        <f>"Tillæg for kommuner med højt beskatningsgrundlag "&amp;aar</f>
        <v>Tillæg for kommuner med højt beskatningsgrundlag 2021</v>
      </c>
      <c r="C216" s="138"/>
      <c r="D216" s="138"/>
      <c r="E216" s="138"/>
      <c r="F216" s="138"/>
      <c r="G216" s="138"/>
      <c r="H216" s="138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</row>
    <row r="217" spans="1:50" s="27" customFormat="1" ht="12.75" customHeight="1">
      <c r="A217" s="23"/>
      <c r="B217" s="209"/>
      <c r="C217" s="210"/>
      <c r="D217" s="210"/>
      <c r="E217" s="210"/>
      <c r="F217" s="210"/>
      <c r="G217" s="238" t="s">
        <v>3</v>
      </c>
      <c r="H217" s="239" t="s">
        <v>5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</row>
    <row r="218" spans="1:50" s="27" customFormat="1" ht="12.75" customHeight="1">
      <c r="A218" s="23"/>
      <c r="B218" s="240" t="s">
        <v>13</v>
      </c>
      <c r="C218" s="236"/>
      <c r="D218" s="236"/>
      <c r="E218" s="236"/>
      <c r="F218" s="236"/>
      <c r="G218" s="241" t="s">
        <v>4</v>
      </c>
      <c r="H218" s="242" t="s">
        <v>8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</row>
    <row r="219" spans="1:50" s="27" customFormat="1" ht="12.75" customHeight="1">
      <c r="A219" s="23"/>
      <c r="B219" s="216"/>
      <c r="C219" s="243"/>
      <c r="D219" s="243"/>
      <c r="E219" s="243"/>
      <c r="F219" s="243"/>
      <c r="G219" s="244" t="s">
        <v>10</v>
      </c>
      <c r="H219" s="245" t="s">
        <v>11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</row>
    <row r="220" spans="1:50" s="27" customFormat="1" ht="12.75" customHeight="1">
      <c r="A220" s="23"/>
      <c r="B220" s="246" t="str">
        <f>"D.01 Kommunens beskatningsgrundlag i kr. pr. indb. Jf A.08"</f>
        <v>D.01 Kommunens beskatningsgrundlag i kr. pr. indb. Jf A.08</v>
      </c>
      <c r="C220" s="247"/>
      <c r="D220" s="247"/>
      <c r="E220" s="247"/>
      <c r="F220" s="248"/>
      <c r="G220" s="252" t="str">
        <f>IF(ok_pp=1,+G179," ---------- ")</f>
        <v> ---------- </v>
      </c>
      <c r="H220" s="252" t="str">
        <f>IF(OK_P=1,+H179,"---------- ")</f>
        <v>---------- 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</row>
    <row r="221" spans="1:50" s="27" customFormat="1" ht="12.75" customHeight="1">
      <c r="A221" s="23"/>
      <c r="B221" s="234" t="str">
        <f>"D.02 "&amp;TEXT(100*'Bilag 3'!D26,"0,0")&amp;" % af gennemsnitligt beskatningegrundlag pr. indbygger"</f>
        <v>D.02 125,0 % af gennemsnitligt beskatningegrundlag pr. indbygger</v>
      </c>
      <c r="C221" s="217"/>
      <c r="D221" s="217"/>
      <c r="E221" s="217"/>
      <c r="F221" s="218"/>
      <c r="G221" s="251" t="str">
        <f>IF(OK_P=1,'Bilag 3'!$D$26*'Bilag 3'!$C$20/'Bilag 3'!$C$23,"---------- ")</f>
        <v>---------- </v>
      </c>
      <c r="H221" s="251" t="str">
        <f>IF(OK_P=1,'Bilag 3'!$D$26*'Bilag 3'!$C$20/'Bilag 3'!$C$23,"---------- ")</f>
        <v>---------- 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</row>
    <row r="222" spans="1:50" s="27" customFormat="1" ht="12.75" customHeight="1">
      <c r="A222" s="23"/>
      <c r="B222" s="233" t="str">
        <f>"D.03 Negativ forskel (pkt. B.02 - B.01)"</f>
        <v>D.03 Negativ forskel (pkt. B.02 - B.01)</v>
      </c>
      <c r="C222" s="182"/>
      <c r="D222" s="182"/>
      <c r="E222" s="182"/>
      <c r="F222" s="214"/>
      <c r="G222" s="253" t="str">
        <f>IF(ok_pp=1,IF(+G221-G220&lt;0,G221-G220,0)," ---------- ")</f>
        <v> ---------- </v>
      </c>
      <c r="H222" s="253" t="str">
        <f>IF(OK_P=1,IF(+H221-H220&lt;0,H221-H220,)," ---------- ")</f>
        <v> ---------- 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</row>
    <row r="223" spans="1:50" s="27" customFormat="1" ht="12.75" customHeight="1">
      <c r="A223" s="23"/>
      <c r="B223" s="233" t="str">
        <f>"D.04 Skattetryksfaktor "</f>
        <v>D.04 Skattetryksfaktor </v>
      </c>
      <c r="C223" s="182"/>
      <c r="D223" s="182"/>
      <c r="E223" s="182"/>
      <c r="F223" s="214"/>
      <c r="G223" s="254" t="str">
        <f>IF(OK_P=1,'Bilag 3'!$C$21/'Bilag 3'!$C$20,"---------- ")</f>
        <v>---------- </v>
      </c>
      <c r="H223" s="254" t="str">
        <f>IF(OK_P=1,'Bilag 3'!$C$21/'Bilag 3'!$C$20,"---------- ")</f>
        <v>---------- 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</row>
    <row r="224" spans="1:50" s="27" customFormat="1" ht="12.75" customHeight="1">
      <c r="A224" s="23"/>
      <c r="B224" s="233" t="str">
        <f>"D.05 Udligningsprocent "</f>
        <v>D.05 Udligningsprocent </v>
      </c>
      <c r="C224" s="182"/>
      <c r="D224" s="182"/>
      <c r="E224" s="182"/>
      <c r="F224" s="214"/>
      <c r="G224" s="254" t="str">
        <f>IF(OK_P=1,'Bilag 3'!$D$29,"---------- ")</f>
        <v>---------- </v>
      </c>
      <c r="H224" s="254" t="str">
        <f>IF(OK_P=1,'Bilag 3'!$D$29,"---------- ")</f>
        <v>---------- 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</row>
    <row r="225" spans="1:50" s="27" customFormat="1" ht="12.75" customHeight="1">
      <c r="A225" s="23"/>
      <c r="B225" s="233" t="str">
        <f>"D.06 Kommunens folketal 1.1."&amp;aar&amp;" (jf. pkt. 1.05)"</f>
        <v>D.06 Kommunens folketal 1.1.2021 (jf. pkt. 1.05)</v>
      </c>
      <c r="C225" s="182"/>
      <c r="D225" s="182"/>
      <c r="E225" s="182"/>
      <c r="F225" s="214"/>
      <c r="G225" s="215" t="str">
        <f>IF(ok_pp=1,F28," ")</f>
        <v> </v>
      </c>
      <c r="H225" s="215" t="str">
        <f>IF(OK_P=1,VLOOKUP(knr,Bilagtab2,13),"---------- ")</f>
        <v>---------- 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</row>
    <row r="226" spans="1:50" s="27" customFormat="1" ht="12.75" customHeight="1">
      <c r="A226" s="23"/>
      <c r="B226" s="233" t="str">
        <f>"D.07 Beregnet udligningsbeløb (D.03 x D.04 x D.05 x D.06) "</f>
        <v>D.07 Beregnet udligningsbeløb (D.03 x D.04 x D.05 x D.06) </v>
      </c>
      <c r="C226" s="182"/>
      <c r="D226" s="182"/>
      <c r="E226" s="182"/>
      <c r="F226" s="214"/>
      <c r="G226" s="215" t="str">
        <f>IF(ok_pp=1,+G222*G223*G224*G225," ")</f>
        <v> </v>
      </c>
      <c r="H226" s="215" t="str">
        <f>IF(OK_P=1,+H222*H223*H224*H225,"---------- ")</f>
        <v>---------- 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</row>
    <row r="227" spans="1:50" s="27" customFormat="1" ht="12.75" customHeight="1">
      <c r="A227" s="23"/>
      <c r="B227" s="234" t="str">
        <f>"D.08 12-Afrundet udligningsbeløb    "</f>
        <v>D.08 12-Afrundet udligningsbeløb    </v>
      </c>
      <c r="C227" s="217"/>
      <c r="D227" s="217"/>
      <c r="E227" s="217"/>
      <c r="F227" s="218"/>
      <c r="G227" s="219" t="str">
        <f>IF(ok_pp=1,12*ROUND(G226/12,0)," ")</f>
        <v> </v>
      </c>
      <c r="H227" s="219" t="str">
        <f>IF(OK_P=1,VLOOKUP(knr,Bilagtab1,5),"---------- ")</f>
        <v>---------- 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</row>
    <row r="228" spans="1:50" s="27" customFormat="1" ht="12.75" customHeight="1">
      <c r="A228" s="23"/>
      <c r="B228" s="104" t="s">
        <v>385</v>
      </c>
      <c r="C228" s="25"/>
      <c r="D228" s="25"/>
      <c r="E228" s="25"/>
      <c r="F228" s="25"/>
      <c r="G228" s="25"/>
      <c r="H228" s="25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</row>
    <row r="229" spans="1:50" s="27" customFormat="1" ht="12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</row>
    <row r="230" spans="1:50" s="27" customFormat="1" ht="12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</row>
    <row r="231" spans="1:50" s="27" customFormat="1" ht="12.75" customHeight="1">
      <c r="A231" s="23"/>
      <c r="B231" s="103" t="str">
        <f>"Bilag E:   Komnr.  "&amp;TEXT(knr,0)&amp;"  "&amp;$D$5</f>
        <v>Bilag E:   Komnr.  0  Ugyldigt kommunenr. </v>
      </c>
      <c r="C231" s="25"/>
      <c r="D231" s="25"/>
      <c r="E231" s="25"/>
      <c r="F231" s="25"/>
      <c r="G231" s="25"/>
      <c r="H231" s="25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</row>
    <row r="232" spans="1:50" s="27" customFormat="1" ht="12.75" customHeight="1">
      <c r="A232" s="23"/>
      <c r="B232" s="103" t="str">
        <f>"Udligning af udgiftsbehov "&amp;aar</f>
        <v>Udligning af udgiftsbehov 2021</v>
      </c>
      <c r="C232" s="25"/>
      <c r="D232" s="25"/>
      <c r="E232" s="25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</row>
    <row r="233" spans="1:50" s="27" customFormat="1" ht="12.75" customHeight="1">
      <c r="A233" s="23"/>
      <c r="B233" s="209"/>
      <c r="C233" s="210"/>
      <c r="D233" s="210"/>
      <c r="E233" s="210"/>
      <c r="F233" s="210"/>
      <c r="G233" s="238" t="s">
        <v>3</v>
      </c>
      <c r="H233" s="239" t="s">
        <v>5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</row>
    <row r="234" spans="1:50" s="27" customFormat="1" ht="12.75" customHeight="1">
      <c r="A234" s="23"/>
      <c r="B234" s="240" t="s">
        <v>13</v>
      </c>
      <c r="C234" s="236"/>
      <c r="D234" s="236"/>
      <c r="E234" s="236"/>
      <c r="F234" s="236"/>
      <c r="G234" s="241" t="s">
        <v>4</v>
      </c>
      <c r="H234" s="242" t="s">
        <v>8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</row>
    <row r="235" spans="1:50" s="27" customFormat="1" ht="12.75" customHeight="1">
      <c r="A235" s="23"/>
      <c r="B235" s="216"/>
      <c r="C235" s="243"/>
      <c r="D235" s="243"/>
      <c r="E235" s="243"/>
      <c r="F235" s="243"/>
      <c r="G235" s="244" t="s">
        <v>10</v>
      </c>
      <c r="H235" s="245" t="s">
        <v>11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</row>
    <row r="236" spans="1:50" s="27" customFormat="1" ht="12.75" customHeight="1">
      <c r="A236" s="23"/>
      <c r="B236" s="246" t="str">
        <f>"E.01 Kommunens udgiftsbehov pr. indbygger (jf. statsgaranti)"</f>
        <v>E.01 Kommunens udgiftsbehov pr. indbygger (jf. statsgaranti)</v>
      </c>
      <c r="C236" s="247"/>
      <c r="D236" s="247"/>
      <c r="E236" s="247"/>
      <c r="F236" s="248"/>
      <c r="G236" s="252" t="str">
        <f>IF(OK_P=1,VLOOKUP(knr,Bilagtab2,12)/VLOOKUP(knr,Bilagtab2,13),"---------- ")</f>
        <v>---------- </v>
      </c>
      <c r="H236" s="252" t="str">
        <f>IF(OK_P=1,VLOOKUP(knr,Bilagtab2,12)/VLOOKUP(knr,Bilagtab2,13),"---------- ")</f>
        <v>---------- 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</row>
    <row r="237" spans="1:50" s="27" customFormat="1" ht="12.75" customHeight="1">
      <c r="A237" s="23"/>
      <c r="B237" s="234" t="str">
        <f>"E.02 Gennemsnitligt udgifgtsbehov pr. indbygger"</f>
        <v>E.02 Gennemsnitligt udgifgtsbehov pr. indbygger</v>
      </c>
      <c r="C237" s="217"/>
      <c r="D237" s="217"/>
      <c r="E237" s="217"/>
      <c r="F237" s="218"/>
      <c r="G237" s="251" t="str">
        <f>IF(OK_P=1,'Bilag 3'!$C$32/'Bilag 3'!$C$33,"---------- ")</f>
        <v>---------- </v>
      </c>
      <c r="H237" s="251" t="str">
        <f>IF(OK_P=1,'Bilag 3'!$C$32/'Bilag 3'!$C$33,"---------- ")</f>
        <v>---------- 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</row>
    <row r="238" spans="1:50" s="27" customFormat="1" ht="12.75" customHeight="1">
      <c r="A238" s="23"/>
      <c r="B238" s="246" t="str">
        <f>"E.03 Forskel (pkt. B.01 - B.02)"</f>
        <v>E.03 Forskel (pkt. B.01 - B.02)</v>
      </c>
      <c r="C238" s="247"/>
      <c r="D238" s="247"/>
      <c r="E238" s="247"/>
      <c r="F238" s="248"/>
      <c r="G238" s="252" t="str">
        <f>IF(ok_pp=1,G236-G237,"    ---------- ")</f>
        <v>    ---------- </v>
      </c>
      <c r="H238" s="252" t="str">
        <f>IF(OK_P=1,H236-H237,"     ---------- ")</f>
        <v>     ---------- 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</row>
    <row r="239" spans="1:50" s="27" customFormat="1" ht="12.75" customHeight="1">
      <c r="A239" s="23"/>
      <c r="B239" s="233" t="str">
        <f>"E.04 Udligningsprocent "</f>
        <v>E.04 Udligningsprocent </v>
      </c>
      <c r="C239" s="182"/>
      <c r="D239" s="182"/>
      <c r="E239" s="182"/>
      <c r="F239" s="214"/>
      <c r="G239" s="254" t="str">
        <f>IF(OK_P=1,'Bilag 3'!$D$35,"---------- ")</f>
        <v>---------- </v>
      </c>
      <c r="H239" s="254" t="str">
        <f>IF(OK_P=1,'Bilag 3'!$D$35,"---------- ")</f>
        <v>---------- 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</row>
    <row r="240" spans="1:50" s="27" customFormat="1" ht="12.75" customHeight="1">
      <c r="A240" s="23"/>
      <c r="B240" s="233" t="str">
        <f>"E.05 Kommunens folketal 1.1."&amp;aar&amp;" (jf. pkt. 1.05)"</f>
        <v>E.05 Kommunens folketal 1.1.2021 (jf. pkt. 1.05)</v>
      </c>
      <c r="C240" s="182"/>
      <c r="D240" s="182"/>
      <c r="E240" s="182"/>
      <c r="F240" s="214"/>
      <c r="G240" s="215" t="str">
        <f>IF(ok_pp=1,F28," ")</f>
        <v> </v>
      </c>
      <c r="H240" s="215" t="str">
        <f>IF(OK_P=1,VLOOKUP(knr,Bilagtab2,13),"---------- ")</f>
        <v>---------- 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</row>
    <row r="241" spans="1:50" s="27" customFormat="1" ht="12.75" customHeight="1">
      <c r="A241" s="23"/>
      <c r="B241" s="233" t="str">
        <f>"E.06 Beregnet udligningsbeløb (E.03 x E.04 x E.05) "</f>
        <v>E.06 Beregnet udligningsbeløb (E.03 x E.04 x E.05) </v>
      </c>
      <c r="C241" s="182"/>
      <c r="D241" s="182"/>
      <c r="E241" s="182"/>
      <c r="F241" s="214"/>
      <c r="G241" s="215" t="str">
        <f>IF(ok_pp=1,+G238*G239*G240," ")</f>
        <v> </v>
      </c>
      <c r="H241" s="215" t="str">
        <f>IF(OK_P=1,+H238*H239*H240,"---------- ")</f>
        <v>---------- </v>
      </c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</row>
    <row r="242" spans="1:50" s="27" customFormat="1" ht="12.75" customHeight="1">
      <c r="A242" s="23"/>
      <c r="B242" s="234" t="str">
        <f>"E.07 12-Afrundet udligningsbeløb  "</f>
        <v>E.07 12-Afrundet udligningsbeløb  </v>
      </c>
      <c r="C242" s="217"/>
      <c r="D242" s="217"/>
      <c r="E242" s="217"/>
      <c r="F242" s="218"/>
      <c r="G242" s="219" t="str">
        <f>IF(ok_pp=1,12*ROUND(G241/12,0)," ")</f>
        <v> </v>
      </c>
      <c r="H242" s="219" t="str">
        <f>IF(OK_P=1,VLOOKUP(knr,Bilagtab1,9),"---------- ")</f>
        <v>---------- 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</row>
    <row r="243" spans="1:50" s="27" customFormat="1" ht="12.75" customHeight="1">
      <c r="A243" s="23"/>
      <c r="B243" s="104" t="s">
        <v>384</v>
      </c>
      <c r="C243" s="25"/>
      <c r="D243" s="25"/>
      <c r="E243" s="25"/>
      <c r="F243" s="25"/>
      <c r="G243" s="25"/>
      <c r="H243" s="25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</row>
    <row r="244" spans="1:50" s="27" customFormat="1" ht="12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</row>
    <row r="245" spans="1:50" s="27" customFormat="1" ht="12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</row>
    <row r="246" spans="1:50" s="27" customFormat="1" ht="12.75" customHeight="1">
      <c r="A246" s="23"/>
      <c r="B246" s="103" t="str">
        <f>"Bilag F:   Komnr.  "&amp;TEXT(knr,0)&amp;"  "&amp;$D$5</f>
        <v>Bilag F:   Komnr.  0  Ugyldigt kommunenr. </v>
      </c>
      <c r="C246" s="25"/>
      <c r="D246" s="25"/>
      <c r="E246" s="25"/>
      <c r="F246" s="25"/>
      <c r="G246" s="25"/>
      <c r="H246" s="25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</row>
    <row r="247" spans="1:50" s="27" customFormat="1" ht="12.75" customHeight="1">
      <c r="A247" s="23"/>
      <c r="B247" s="103" t="str">
        <f>"Tillæg for kommuner med højt udgiftsbehov "&amp;aar</f>
        <v>Tillæg for kommuner med højt udgiftsbehov 2021</v>
      </c>
      <c r="C247" s="25"/>
      <c r="D247" s="25"/>
      <c r="E247" s="25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</row>
    <row r="248" spans="1:50" s="27" customFormat="1" ht="12.75" customHeight="1">
      <c r="A248" s="23"/>
      <c r="B248" s="209"/>
      <c r="C248" s="210"/>
      <c r="D248" s="210"/>
      <c r="E248" s="210"/>
      <c r="F248" s="210"/>
      <c r="G248" s="238" t="s">
        <v>3</v>
      </c>
      <c r="H248" s="239" t="s">
        <v>5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</row>
    <row r="249" spans="1:50" s="27" customFormat="1" ht="12.75" customHeight="1">
      <c r="A249" s="23"/>
      <c r="B249" s="240" t="s">
        <v>13</v>
      </c>
      <c r="C249" s="236"/>
      <c r="D249" s="236"/>
      <c r="E249" s="236"/>
      <c r="F249" s="236"/>
      <c r="G249" s="241" t="s">
        <v>4</v>
      </c>
      <c r="H249" s="242" t="s">
        <v>8</v>
      </c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</row>
    <row r="250" spans="1:50" s="27" customFormat="1" ht="12.75" customHeight="1">
      <c r="A250" s="23"/>
      <c r="B250" s="216"/>
      <c r="C250" s="243"/>
      <c r="D250" s="243"/>
      <c r="E250" s="243"/>
      <c r="F250" s="243"/>
      <c r="G250" s="244" t="s">
        <v>10</v>
      </c>
      <c r="H250" s="245" t="s">
        <v>11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</row>
    <row r="251" spans="1:50" s="27" customFormat="1" ht="12.75" customHeight="1">
      <c r="A251" s="23"/>
      <c r="B251" s="246" t="str">
        <f>"F.01 Kommunens udgiftsbehov pr. indbygger (jf. statsgaranti)"</f>
        <v>F.01 Kommunens udgiftsbehov pr. indbygger (jf. statsgaranti)</v>
      </c>
      <c r="C251" s="247"/>
      <c r="D251" s="247"/>
      <c r="E251" s="247"/>
      <c r="F251" s="248"/>
      <c r="G251" s="252" t="str">
        <f>IF(OK_P=1,VLOOKUP(knr,Bilagtab2,12)/VLOOKUP(knr,Bilagtab2,13),"---------- ")</f>
        <v>---------- </v>
      </c>
      <c r="H251" s="252" t="str">
        <f>IF(OK_P=1,VLOOKUP(knr,Bilagtab2,12)/VLOOKUP(knr,Bilagtab2,13),"---------- ")</f>
        <v>---------- </v>
      </c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</row>
    <row r="252" spans="2:50" s="27" customFormat="1" ht="12.75" customHeight="1">
      <c r="B252" s="234" t="str">
        <f>"F.02 Gennemsnitligt udgifgtsbehov pr. indbygger"</f>
        <v>F.02 Gennemsnitligt udgifgtsbehov pr. indbygger</v>
      </c>
      <c r="C252" s="217"/>
      <c r="D252" s="217"/>
      <c r="E252" s="217"/>
      <c r="F252" s="218"/>
      <c r="G252" s="251" t="str">
        <f>IF(OK_P=1,'Bilag 3'!$C$32/'Bilag 3'!$C$33,"---------- ")</f>
        <v>---------- </v>
      </c>
      <c r="H252" s="251" t="str">
        <f>IF(OK_P=1,'Bilag 3'!$C$32/'Bilag 3'!$C$33,"---------- ")</f>
        <v>---------- 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</row>
    <row r="253" spans="2:50" s="27" customFormat="1" ht="12.75" customHeight="1">
      <c r="B253" s="246" t="str">
        <f>"F.03 Positiv forskel (pkt. B.01 - B.02)"</f>
        <v>F.03 Positiv forskel (pkt. B.01 - B.02)</v>
      </c>
      <c r="C253" s="247"/>
      <c r="D253" s="247"/>
      <c r="E253" s="247"/>
      <c r="F253" s="248"/>
      <c r="G253" s="249" t="str">
        <f>IF(ok_pp=1,IF(G251-G252&gt;0,G251-G252,0),"      ---------- ")</f>
        <v>      ---------- </v>
      </c>
      <c r="H253" s="249" t="str">
        <f>IF(OK_P=1,IF(H251-H252&gt;0,H251-H252,0),"           ---------- ")</f>
        <v>           ---------- 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</row>
    <row r="254" spans="2:50" s="27" customFormat="1" ht="12.75" customHeight="1">
      <c r="B254" s="233" t="str">
        <f>"F.04 Udligningsprocent "</f>
        <v>F.04 Udligningsprocent </v>
      </c>
      <c r="C254" s="182"/>
      <c r="D254" s="182"/>
      <c r="E254" s="182"/>
      <c r="F254" s="214"/>
      <c r="G254" s="254" t="str">
        <f>IF(OK_P=1,'Bilag 3'!$D$36,"---------- ")</f>
        <v>---------- </v>
      </c>
      <c r="H254" s="254" t="str">
        <f>IF(OK_P=1,'Bilag 3'!$D$36,"---------- ")</f>
        <v>---------- </v>
      </c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</row>
    <row r="255" spans="2:50" s="27" customFormat="1" ht="12.75" customHeight="1">
      <c r="B255" s="233" t="str">
        <f>"F.05 Kommunens folketal 1.1."&amp;aar&amp;" (jf. pkt. 1.05)"</f>
        <v>F.05 Kommunens folketal 1.1.2021 (jf. pkt. 1.05)</v>
      </c>
      <c r="C255" s="182"/>
      <c r="D255" s="182"/>
      <c r="E255" s="182"/>
      <c r="F255" s="214"/>
      <c r="G255" s="215" t="str">
        <f>IF(ok_pp=1,F28," ")</f>
        <v> </v>
      </c>
      <c r="H255" s="215" t="str">
        <f>IF(OK_P=1,VLOOKUP(knr,Bilagtab2,13),"---------- ")</f>
        <v>---------- </v>
      </c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</row>
    <row r="256" spans="2:50" s="27" customFormat="1" ht="12.75" customHeight="1">
      <c r="B256" s="233" t="str">
        <f>"F.06 Beregnet udligningsbeløb (E.03 x E.04 x E.05) "</f>
        <v>F.06 Beregnet udligningsbeløb (E.03 x E.04 x E.05) </v>
      </c>
      <c r="C256" s="182"/>
      <c r="D256" s="182"/>
      <c r="E256" s="182"/>
      <c r="F256" s="214"/>
      <c r="G256" s="215" t="str">
        <f>IF(ok_pp=1,+G253*G254*G255," ")</f>
        <v> </v>
      </c>
      <c r="H256" s="215" t="str">
        <f>IF(OK_P=1,+H253*H254*H255,"---------- ")</f>
        <v>---------- </v>
      </c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</row>
    <row r="257" spans="2:50" s="27" customFormat="1" ht="12.75" customHeight="1">
      <c r="B257" s="234" t="str">
        <f>"F.07 12-Afrundet udligningsbeløb  "</f>
        <v>F.07 12-Afrundet udligningsbeløb  </v>
      </c>
      <c r="C257" s="217"/>
      <c r="D257" s="217"/>
      <c r="E257" s="217"/>
      <c r="F257" s="218"/>
      <c r="G257" s="219" t="str">
        <f>IF(ok_pp=1,12*ROUND(G256/12,0)," ")</f>
        <v> </v>
      </c>
      <c r="H257" s="219" t="str">
        <f>IF(OK_P=1,VLOOKUP(knr,Bilagtab1,10),"---------- ")</f>
        <v>---------- </v>
      </c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</row>
    <row r="258" spans="2:50" s="27" customFormat="1" ht="12.75" customHeight="1">
      <c r="B258" s="104" t="s">
        <v>383</v>
      </c>
      <c r="C258" s="25"/>
      <c r="D258" s="25"/>
      <c r="E258" s="25"/>
      <c r="F258" s="25"/>
      <c r="G258" s="25"/>
      <c r="H258" s="25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</row>
    <row r="259" spans="10:50" s="27" customFormat="1" ht="12.75" customHeight="1"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</row>
    <row r="261" spans="2:8" ht="15">
      <c r="B261" s="107" t="str">
        <f>"Bilag G:   Komnr.  "&amp;TEXT(knr,0)&amp;"  "&amp;$D$5</f>
        <v>Bilag G:   Komnr.  0  Ugyldigt kommunenr. </v>
      </c>
      <c r="C261" s="105"/>
      <c r="D261" s="105"/>
      <c r="E261" s="105"/>
      <c r="F261" s="105"/>
      <c r="G261" s="105"/>
      <c r="H261" s="105"/>
    </row>
    <row r="262" spans="2:8" ht="15">
      <c r="B262" s="106" t="str">
        <f>"Finansieringsbidrag fordelt efter folketal (statstilskud, indvandrerbidrag mv.) "&amp;aar</f>
        <v>Finansieringsbidrag fordelt efter folketal (statstilskud, indvandrerbidrag mv.) 2021</v>
      </c>
      <c r="C262" s="105"/>
      <c r="D262" s="105"/>
      <c r="E262" s="105"/>
      <c r="F262" s="106"/>
      <c r="G262" s="106"/>
      <c r="H262" s="106"/>
    </row>
    <row r="263" spans="2:8" ht="13.5">
      <c r="B263" s="209"/>
      <c r="C263" s="210"/>
      <c r="D263" s="210"/>
      <c r="E263" s="210"/>
      <c r="F263" s="210"/>
      <c r="G263" s="238" t="s">
        <v>3</v>
      </c>
      <c r="H263" s="239" t="s">
        <v>5</v>
      </c>
    </row>
    <row r="264" spans="2:8" ht="13.5">
      <c r="B264" s="240" t="s">
        <v>13</v>
      </c>
      <c r="C264" s="236"/>
      <c r="D264" s="236"/>
      <c r="E264" s="236"/>
      <c r="F264" s="236"/>
      <c r="G264" s="241" t="s">
        <v>4</v>
      </c>
      <c r="H264" s="242" t="s">
        <v>8</v>
      </c>
    </row>
    <row r="265" spans="2:8" ht="13.5">
      <c r="B265" s="216"/>
      <c r="C265" s="243"/>
      <c r="D265" s="243"/>
      <c r="E265" s="243"/>
      <c r="F265" s="243"/>
      <c r="G265" s="244" t="s">
        <v>10</v>
      </c>
      <c r="H265" s="245" t="s">
        <v>11</v>
      </c>
    </row>
    <row r="266" spans="2:8" ht="13.5">
      <c r="B266" s="246" t="str">
        <f>"G.01 Bloktilskud (ordinært) i "&amp;aar&amp;", der fordeles efter folketal "</f>
        <v>G.01 Bloktilskud (ordinært) i 2021, der fordeles efter folketal </v>
      </c>
      <c r="C266" s="247"/>
      <c r="D266" s="247"/>
      <c r="E266" s="247"/>
      <c r="F266" s="247"/>
      <c r="G266" s="249" t="str">
        <f>IF(OK_P=1,'Bilag 3'!$C$10,"---------- ")</f>
        <v>---------- </v>
      </c>
      <c r="H266" s="255" t="str">
        <f>IF(OK_P=1,'Bilag 3'!$C$10,"---------- ")</f>
        <v>---------- </v>
      </c>
    </row>
    <row r="267" spans="2:8" ht="13.5">
      <c r="B267" s="233" t="str">
        <f>"G.02 Bloktilskud (betinget vedr service ) i "&amp;aar&amp;", der fordeles efter folketal "</f>
        <v>G.02 Bloktilskud (betinget vedr service ) i 2021, der fordeles efter folketal </v>
      </c>
      <c r="C267" s="182"/>
      <c r="D267" s="182"/>
      <c r="E267" s="182"/>
      <c r="F267" s="182"/>
      <c r="G267" s="215" t="str">
        <f>IF(OK_P=1,'Bilag 3'!$C$11,"---------- ")</f>
        <v>---------- </v>
      </c>
      <c r="H267" s="235" t="str">
        <f>IF(OK_P=1,'Bilag 3'!$C$11,"---------- ")</f>
        <v>---------- </v>
      </c>
    </row>
    <row r="268" spans="2:8" ht="13.5">
      <c r="B268" s="233" t="str">
        <f>"G.03 Bloktilskud (betinget vedr anlæg) i "&amp;aar&amp;", der fordeles efter folketal "</f>
        <v>G.03 Bloktilskud (betinget vedr anlæg) i 2021, der fordeles efter folketal </v>
      </c>
      <c r="C268" s="182"/>
      <c r="D268" s="182"/>
      <c r="E268" s="182"/>
      <c r="F268" s="182"/>
      <c r="G268" s="215" t="str">
        <f>IF(OK_P=1,'Bilag 3'!$C$12,"---------- ")</f>
        <v>---------- </v>
      </c>
      <c r="H268" s="235" t="str">
        <f>IF(OK_P=1,'Bilag 3'!$C$12,"---------- ")</f>
        <v>---------- </v>
      </c>
    </row>
    <row r="269" spans="2:8" ht="13.5">
      <c r="B269" s="233" t="str">
        <f>"G.04 Bidragspulje til udligningsordn. indv. og efterkommere "&amp;aar</f>
        <v>G.04 Bidragspulje til udligningsordn. indv. og efterkommere 2021</v>
      </c>
      <c r="C269" s="182"/>
      <c r="D269" s="182"/>
      <c r="E269" s="182"/>
      <c r="F269" s="182"/>
      <c r="G269" s="215" t="str">
        <f>IF(OK_P=1,'Bilag 3'!$C$38,"---------- ")</f>
        <v>---------- </v>
      </c>
      <c r="H269" s="235" t="str">
        <f>IF(OK_P=1,'Bilag 3'!$C$38,"---------- ")</f>
        <v>---------- </v>
      </c>
    </row>
    <row r="270" spans="2:8" ht="13.5">
      <c r="B270" s="233" t="str">
        <f>+"G.05 Bidragspulje til korrektion vedr. overudligning "&amp;aar</f>
        <v>G.05 Bidragspulje til korrektion vedr. overudligning 2021</v>
      </c>
      <c r="C270" s="182"/>
      <c r="D270" s="182"/>
      <c r="E270" s="182"/>
      <c r="F270" s="182"/>
      <c r="G270" s="215" t="str">
        <f>IF(OK_P=1,'Bilag 3'!$C$40,"---------- ")</f>
        <v>---------- </v>
      </c>
      <c r="H270" s="235" t="str">
        <f>IF(OK_P=1,'Bilag 3'!$C$40,"---------- ")</f>
        <v>---------- </v>
      </c>
    </row>
    <row r="271" spans="2:8" ht="13.5">
      <c r="B271" s="233" t="str">
        <f>+"G.06 Finansiering af tillæg vedr. beskatningsgrundlag "&amp;aar</f>
        <v>G.06 Finansiering af tillæg vedr. beskatningsgrundlag 2021</v>
      </c>
      <c r="C271" s="182"/>
      <c r="D271" s="182"/>
      <c r="E271" s="182"/>
      <c r="F271" s="182"/>
      <c r="G271" s="215" t="str">
        <f>IF(OK_P=1,'Bilag 3'!$C$41,"---------- ")</f>
        <v>---------- </v>
      </c>
      <c r="H271" s="235" t="str">
        <f>IF(OK_P=1,'Bilag 3'!$C$41,"---------- ")</f>
        <v>---------- </v>
      </c>
    </row>
    <row r="272" spans="2:8" ht="13.5">
      <c r="B272" s="234" t="str">
        <f>+"G.07 Finansiering af tillæg vedr. udgiftsbehov  "&amp;aar</f>
        <v>G.07 Finansiering af tillæg vedr. udgiftsbehov  2021</v>
      </c>
      <c r="C272" s="217"/>
      <c r="D272" s="217"/>
      <c r="E272" s="217"/>
      <c r="F272" s="217"/>
      <c r="G272" s="219" t="str">
        <f>IF(OK_P=1,'Bilag 3'!$C$42,"---------- ")</f>
        <v>---------- </v>
      </c>
      <c r="H272" s="227" t="str">
        <f>IF(OK_P=1,'Bilag 3'!$C$42,"---------- ")</f>
        <v>---------- </v>
      </c>
    </row>
    <row r="273" spans="2:8" ht="12.75">
      <c r="B273" s="39"/>
      <c r="C273" s="39"/>
      <c r="D273" s="39"/>
      <c r="E273" s="39"/>
      <c r="F273" s="39"/>
      <c r="G273" s="119"/>
      <c r="H273" s="119"/>
    </row>
    <row r="274" spans="2:8" ht="13.5">
      <c r="B274" s="246" t="str">
        <f>"G.08 Samlet folketal "&amp;aar&amp;" i hele landet "</f>
        <v>G.08 Samlet folketal 2021 i hele landet </v>
      </c>
      <c r="C274" s="247"/>
      <c r="D274" s="247"/>
      <c r="E274" s="247"/>
      <c r="F274" s="247"/>
      <c r="G274" s="249" t="str">
        <f>IF(OK_P=1,'Bilag 3'!$C$33,"---------- ")</f>
        <v>---------- </v>
      </c>
      <c r="H274" s="255" t="str">
        <f>IF(OK_P=1,'Bilag 3'!$C$33,"---------- ")</f>
        <v>---------- </v>
      </c>
    </row>
    <row r="275" spans="2:8" ht="13.5">
      <c r="B275" s="233" t="str">
        <f>"G.09 Kommunens folketal"</f>
        <v>G.09 Kommunens folketal</v>
      </c>
      <c r="C275" s="182"/>
      <c r="D275" s="182"/>
      <c r="E275" s="182"/>
      <c r="F275" s="182"/>
      <c r="G275" s="215" t="str">
        <f>IF(ok_pp=1,F28," ")</f>
        <v> </v>
      </c>
      <c r="H275" s="235" t="str">
        <f>IF(OK_P=1,VLOOKUP(knr,Bilagtab2,13),"---------- ")</f>
        <v>---------- </v>
      </c>
    </row>
    <row r="276" spans="2:8" ht="13.5">
      <c r="B276" s="234" t="str">
        <f>"G.10 Kommunens andel af samlet folketal (pkt. G.09/G.08)"</f>
        <v>G.10 Kommunens andel af samlet folketal (pkt. G.09/G.08)</v>
      </c>
      <c r="C276" s="217"/>
      <c r="D276" s="217"/>
      <c r="E276" s="217"/>
      <c r="F276" s="217"/>
      <c r="G276" s="256" t="str">
        <f>IF(ok_pp=1,+G275/G274," ")</f>
        <v> </v>
      </c>
      <c r="H276" s="257" t="str">
        <f>IF(OK_P=1,+H275/H274,"---------- ")</f>
        <v>---------- </v>
      </c>
    </row>
    <row r="277" spans="2:8" ht="12.75">
      <c r="B277" s="27"/>
      <c r="C277" s="27"/>
      <c r="D277" s="27"/>
      <c r="E277" s="27"/>
      <c r="F277" s="27"/>
      <c r="G277" s="120"/>
      <c r="H277" s="120"/>
    </row>
    <row r="278" spans="2:8" ht="12.75" customHeight="1">
      <c r="B278" s="246" t="str">
        <f>"G.11 Kommunens andel af ordinært bloktilskud (E.01 x G.10)"</f>
        <v>G.11 Kommunens andel af ordinært bloktilskud (E.01 x G.10)</v>
      </c>
      <c r="C278" s="247"/>
      <c r="D278" s="247"/>
      <c r="E278" s="247"/>
      <c r="F278" s="248"/>
      <c r="G278" s="249" t="str">
        <f aca="true" t="shared" si="8" ref="G278:G284">IF(ok_pp=1,12*ROUND((G266*$G$276)/12,0)," ")</f>
        <v> </v>
      </c>
      <c r="H278" s="255" t="str">
        <f>IF(OK_P=1,VLOOKUP(knr,Bilagtab1,24),"---------- ")</f>
        <v>---------- </v>
      </c>
    </row>
    <row r="279" spans="2:8" ht="12.75" customHeight="1">
      <c r="B279" s="233" t="str">
        <f>"G.12 Kommunens andel af betinget bloktilskud (service) (G.02 x G.10)"</f>
        <v>G.12 Kommunens andel af betinget bloktilskud (service) (G.02 x G.10)</v>
      </c>
      <c r="C279" s="182"/>
      <c r="D279" s="182"/>
      <c r="E279" s="182"/>
      <c r="F279" s="214"/>
      <c r="G279" s="215" t="str">
        <f t="shared" si="8"/>
        <v> </v>
      </c>
      <c r="H279" s="235" t="str">
        <f>IF(OK_P=1,VLOOKUP(knr,Bilagtab1,22),"---------- ")</f>
        <v>---------- </v>
      </c>
    </row>
    <row r="280" spans="2:8" ht="12.75" customHeight="1">
      <c r="B280" s="233" t="str">
        <f>"G.13 Kommunens andel af betinget bloktilskud (anlæg) (G.03 x G.10)"</f>
        <v>G.13 Kommunens andel af betinget bloktilskud (anlæg) (G.03 x G.10)</v>
      </c>
      <c r="C280" s="182"/>
      <c r="D280" s="182"/>
      <c r="E280" s="182"/>
      <c r="F280" s="214"/>
      <c r="G280" s="215" t="str">
        <f t="shared" si="8"/>
        <v> </v>
      </c>
      <c r="H280" s="235" t="str">
        <f>IF(OK_P=1,VLOOKUP(knr,Bilagtab1,23),"---------- ")</f>
        <v>---------- </v>
      </c>
    </row>
    <row r="281" spans="2:8" ht="12.75" customHeight="1">
      <c r="B281" s="233" t="str">
        <f>"G.14 Kommunens bidrag vedr. indv. og efterkommere (G.04 x G.08)"</f>
        <v>G.14 Kommunens bidrag vedr. indv. og efterkommere (G.04 x G.08)</v>
      </c>
      <c r="C281" s="182"/>
      <c r="D281" s="182"/>
      <c r="E281" s="182"/>
      <c r="F281" s="214"/>
      <c r="G281" s="215" t="str">
        <f t="shared" si="8"/>
        <v> </v>
      </c>
      <c r="H281" s="235" t="str">
        <f>IF(OK_P=1,VLOOKUP(knr,Bilagtab1,14),"---------- ")</f>
        <v>---------- </v>
      </c>
    </row>
    <row r="282" spans="2:8" ht="12.75" customHeight="1">
      <c r="B282" s="233" t="str">
        <f>"G.15 Kommunen korrektion vedr. overudligning (G.05 x G.10)"</f>
        <v>G.15 Kommunen korrektion vedr. overudligning (G.05 x G.10)</v>
      </c>
      <c r="C282" s="182"/>
      <c r="D282" s="182"/>
      <c r="E282" s="182"/>
      <c r="F282" s="214"/>
      <c r="G282" s="215" t="str">
        <f t="shared" si="8"/>
        <v> </v>
      </c>
      <c r="H282" s="235" t="str">
        <f>IF(OK_P=1,VLOOKUP(knr,Bilagtab1,8),"---------- ")</f>
        <v>---------- </v>
      </c>
    </row>
    <row r="283" spans="2:8" ht="12.75" customHeight="1">
      <c r="B283" s="233" t="str">
        <f>"G.16 Kommunens finansieringsandel af tillæg vedr. beskatningsgrundlag (G.06 x G.10)"</f>
        <v>G.16 Kommunens finansieringsandel af tillæg vedr. beskatningsgrundlag (G.06 x G.10)</v>
      </c>
      <c r="C283" s="182"/>
      <c r="D283" s="182"/>
      <c r="E283" s="182"/>
      <c r="F283" s="214"/>
      <c r="G283" s="215" t="str">
        <f t="shared" si="8"/>
        <v> </v>
      </c>
      <c r="H283" s="235" t="str">
        <f>IF(OK_P=1,VLOOKUP(knr,Bilagtab1,6),"---------- ")</f>
        <v>---------- </v>
      </c>
    </row>
    <row r="284" spans="2:8" ht="12.75" customHeight="1">
      <c r="B284" s="234" t="str">
        <f>"G.17 Kommunens finansieringsandel af tillæg vedr. udgiftsbehov (G.075 x G.10)"</f>
        <v>G.17 Kommunens finansieringsandel af tillæg vedr. udgiftsbehov (G.075 x G.10)</v>
      </c>
      <c r="C284" s="217"/>
      <c r="D284" s="217"/>
      <c r="E284" s="217"/>
      <c r="F284" s="218"/>
      <c r="G284" s="219" t="str">
        <f t="shared" si="8"/>
        <v> </v>
      </c>
      <c r="H284" s="227" t="str">
        <f>IF(OK_P=1,VLOOKUP(knr,Bilagtab1,11),"---------- ")</f>
        <v>---------- </v>
      </c>
    </row>
    <row r="285" ht="9.75" customHeight="1">
      <c r="B285" s="104" t="s">
        <v>382</v>
      </c>
    </row>
    <row r="286" spans="2:8" ht="9.75" customHeight="1">
      <c r="B286" s="28"/>
      <c r="C286" s="25"/>
      <c r="D286" s="25"/>
      <c r="E286" s="25"/>
      <c r="F286" s="25"/>
      <c r="G286" s="25"/>
      <c r="H286" s="25"/>
    </row>
    <row r="287" ht="6" customHeight="1"/>
    <row r="288" ht="12" customHeight="1"/>
    <row r="289" ht="12" customHeight="1"/>
    <row r="290" ht="12" customHeight="1"/>
    <row r="291" ht="12" customHeight="1"/>
    <row r="295" ht="12.75">
      <c r="J295" s="23" t="s">
        <v>0</v>
      </c>
    </row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6" customHeight="1"/>
    <row r="303" ht="12.75" customHeight="1"/>
    <row r="304" ht="12.75" customHeight="1"/>
    <row r="305" ht="12.75" customHeight="1"/>
    <row r="306" ht="6.75" customHeight="1"/>
    <row r="307" ht="12.75" customHeight="1"/>
    <row r="308" ht="12.75" customHeight="1"/>
    <row r="309" ht="12.75" customHeight="1"/>
  </sheetData>
  <sheetProtection sheet="1" objects="1" scenarios="1"/>
  <mergeCells count="4">
    <mergeCell ref="B162:H162"/>
    <mergeCell ref="B163:H163"/>
    <mergeCell ref="B63:H63"/>
    <mergeCell ref="D5:F5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9" scale="90" r:id="rId1"/>
  <headerFooter alignWithMargins="0">
    <oddHeader>&amp;R&amp;D</oddHeader>
    <oddFooter>&amp;Cside &amp;P
&amp;R
</oddFooter>
  </headerFooter>
  <rowBreaks count="4" manualBreakCount="4">
    <brk id="61" max="255" man="1"/>
    <brk id="102" min="1" max="7" man="1"/>
    <brk id="160" max="255" man="1"/>
    <brk id="229" min="1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3.7109375" style="1" customWidth="1"/>
    <col min="3" max="48" width="10.421875" style="1" customWidth="1"/>
    <col min="49" max="51" width="10.421875" style="0" customWidth="1"/>
    <col min="52" max="52" width="11.7109375" style="0" customWidth="1"/>
    <col min="53" max="16384" width="9.140625" style="1" customWidth="1"/>
  </cols>
  <sheetData>
    <row r="1" spans="1:52" s="7" customFormat="1" ht="24" customHeight="1">
      <c r="A1" s="11" t="str">
        <f>"Bilagstabel 1: Udligningsbeløb statsgaranti "&amp;aar</f>
        <v>Bilagstabel 1: Udligningsbeløb statsgaranti 2021</v>
      </c>
      <c r="B1" s="9"/>
      <c r="E1" s="11"/>
      <c r="Q1"/>
      <c r="AB1"/>
      <c r="AL1"/>
      <c r="AM1"/>
      <c r="AN1"/>
      <c r="AW1"/>
      <c r="AX1"/>
      <c r="AY1"/>
      <c r="AZ1"/>
    </row>
    <row r="2" spans="3:41" ht="4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AG2" s="12"/>
      <c r="AH2" s="12"/>
      <c r="AK2" s="12"/>
      <c r="AL2" s="12"/>
      <c r="AO2" s="12"/>
    </row>
    <row r="3" spans="1:48" ht="12.75">
      <c r="A3" s="76" t="s">
        <v>14</v>
      </c>
      <c r="B3" s="79" t="s">
        <v>97</v>
      </c>
      <c r="C3" s="76" t="s">
        <v>172</v>
      </c>
      <c r="D3" s="76" t="s">
        <v>173</v>
      </c>
      <c r="E3" s="76" t="s">
        <v>173</v>
      </c>
      <c r="F3" s="76" t="s">
        <v>174</v>
      </c>
      <c r="G3" s="76" t="s">
        <v>175</v>
      </c>
      <c r="H3" s="76" t="s">
        <v>176</v>
      </c>
      <c r="I3" s="76" t="s">
        <v>172</v>
      </c>
      <c r="J3" s="76" t="s">
        <v>173</v>
      </c>
      <c r="K3" s="76" t="s">
        <v>174</v>
      </c>
      <c r="L3" s="76" t="s">
        <v>177</v>
      </c>
      <c r="M3" s="76" t="s">
        <v>201</v>
      </c>
      <c r="N3" s="76" t="s">
        <v>202</v>
      </c>
      <c r="O3" s="76" t="s">
        <v>172</v>
      </c>
      <c r="P3" s="76" t="s">
        <v>172</v>
      </c>
      <c r="Q3" s="76" t="s">
        <v>408</v>
      </c>
      <c r="R3" s="76" t="s">
        <v>201</v>
      </c>
      <c r="S3" s="76" t="s">
        <v>201</v>
      </c>
      <c r="T3" s="76" t="s">
        <v>201</v>
      </c>
      <c r="U3" s="76" t="s">
        <v>201</v>
      </c>
      <c r="V3" s="76" t="s">
        <v>404</v>
      </c>
      <c r="W3" s="76" t="s">
        <v>405</v>
      </c>
      <c r="X3" s="76" t="s">
        <v>405</v>
      </c>
      <c r="Y3" s="76" t="s">
        <v>201</v>
      </c>
      <c r="Z3" s="76" t="s">
        <v>412</v>
      </c>
      <c r="AA3" s="76" t="s">
        <v>201</v>
      </c>
      <c r="AB3" s="76" t="s">
        <v>202</v>
      </c>
      <c r="AC3" s="76" t="s">
        <v>201</v>
      </c>
      <c r="AD3" s="76" t="s">
        <v>201</v>
      </c>
      <c r="AE3" s="76" t="s">
        <v>201</v>
      </c>
      <c r="AF3" s="76" t="s">
        <v>201</v>
      </c>
      <c r="AG3" s="76" t="s">
        <v>201</v>
      </c>
      <c r="AH3" s="76" t="s">
        <v>201</v>
      </c>
      <c r="AI3" s="76" t="s">
        <v>201</v>
      </c>
      <c r="AJ3" s="76" t="s">
        <v>201</v>
      </c>
      <c r="AK3" s="76" t="s">
        <v>201</v>
      </c>
      <c r="AL3" s="76" t="s">
        <v>202</v>
      </c>
      <c r="AM3" s="76" t="s">
        <v>269</v>
      </c>
      <c r="AN3" s="76" t="s">
        <v>269</v>
      </c>
      <c r="AO3" s="76" t="s">
        <v>269</v>
      </c>
      <c r="AP3" s="76" t="s">
        <v>269</v>
      </c>
      <c r="AQ3" s="76" t="s">
        <v>269</v>
      </c>
      <c r="AR3" s="76" t="s">
        <v>270</v>
      </c>
      <c r="AS3" s="76" t="s">
        <v>407</v>
      </c>
      <c r="AT3" s="76" t="s">
        <v>175</v>
      </c>
      <c r="AU3" s="76" t="s">
        <v>175</v>
      </c>
      <c r="AV3" s="76" t="s">
        <v>271</v>
      </c>
    </row>
    <row r="4" spans="1:48" ht="12.75">
      <c r="A4" s="69"/>
      <c r="B4" s="69"/>
      <c r="C4" s="69" t="s">
        <v>179</v>
      </c>
      <c r="D4" s="69" t="s">
        <v>180</v>
      </c>
      <c r="E4" s="69" t="s">
        <v>180</v>
      </c>
      <c r="F4" s="69" t="s">
        <v>181</v>
      </c>
      <c r="G4" s="69" t="s">
        <v>182</v>
      </c>
      <c r="H4" s="69" t="s">
        <v>183</v>
      </c>
      <c r="I4" s="69" t="s">
        <v>179</v>
      </c>
      <c r="J4" s="69" t="s">
        <v>184</v>
      </c>
      <c r="K4" s="69" t="s">
        <v>181</v>
      </c>
      <c r="L4" s="69" t="s">
        <v>185</v>
      </c>
      <c r="M4" s="69" t="s">
        <v>188</v>
      </c>
      <c r="N4" s="69" t="s">
        <v>188</v>
      </c>
      <c r="O4" s="69" t="s">
        <v>179</v>
      </c>
      <c r="P4" s="69" t="s">
        <v>179</v>
      </c>
      <c r="Q4" s="69" t="s">
        <v>409</v>
      </c>
      <c r="R4" s="69" t="s">
        <v>204</v>
      </c>
      <c r="S4" s="69" t="s">
        <v>204</v>
      </c>
      <c r="T4" s="69" t="s">
        <v>204</v>
      </c>
      <c r="U4" s="69" t="s">
        <v>204</v>
      </c>
      <c r="V4" s="69" t="s">
        <v>203</v>
      </c>
      <c r="W4" s="69" t="s">
        <v>203</v>
      </c>
      <c r="X4" s="69" t="s">
        <v>203</v>
      </c>
      <c r="Y4" s="69" t="s">
        <v>204</v>
      </c>
      <c r="Z4" s="69"/>
      <c r="AA4" s="69" t="s">
        <v>204</v>
      </c>
      <c r="AB4" s="69" t="s">
        <v>204</v>
      </c>
      <c r="AC4" s="69" t="s">
        <v>188</v>
      </c>
      <c r="AD4" s="69" t="s">
        <v>188</v>
      </c>
      <c r="AE4" s="69" t="s">
        <v>235</v>
      </c>
      <c r="AF4" s="69" t="s">
        <v>235</v>
      </c>
      <c r="AG4" s="69" t="s">
        <v>204</v>
      </c>
      <c r="AH4" s="69" t="s">
        <v>204</v>
      </c>
      <c r="AI4" s="69" t="s">
        <v>204</v>
      </c>
      <c r="AJ4" s="69" t="s">
        <v>204</v>
      </c>
      <c r="AK4" s="69" t="s">
        <v>421</v>
      </c>
      <c r="AL4" s="69" t="s">
        <v>424</v>
      </c>
      <c r="AM4" s="69" t="s">
        <v>272</v>
      </c>
      <c r="AN4" s="69" t="s">
        <v>272</v>
      </c>
      <c r="AO4" s="69" t="s">
        <v>272</v>
      </c>
      <c r="AP4" s="69" t="s">
        <v>273</v>
      </c>
      <c r="AQ4" s="69" t="s">
        <v>273</v>
      </c>
      <c r="AR4" s="69" t="s">
        <v>274</v>
      </c>
      <c r="AS4" s="69" t="s">
        <v>406</v>
      </c>
      <c r="AT4" s="69" t="s">
        <v>275</v>
      </c>
      <c r="AU4" s="69" t="s">
        <v>275</v>
      </c>
      <c r="AV4" s="69" t="s">
        <v>276</v>
      </c>
    </row>
    <row r="5" spans="1:48" ht="12.75">
      <c r="A5" s="69"/>
      <c r="B5" s="69"/>
      <c r="C5" s="69" t="s">
        <v>186</v>
      </c>
      <c r="D5" s="69" t="s">
        <v>187</v>
      </c>
      <c r="E5" s="69" t="s">
        <v>187</v>
      </c>
      <c r="F5" s="69" t="s">
        <v>186</v>
      </c>
      <c r="G5" s="69" t="s">
        <v>179</v>
      </c>
      <c r="H5" s="69" t="s">
        <v>188</v>
      </c>
      <c r="I5" s="69" t="s">
        <v>189</v>
      </c>
      <c r="J5" s="69" t="s">
        <v>185</v>
      </c>
      <c r="K5" s="69" t="s">
        <v>186</v>
      </c>
      <c r="L5" s="69" t="s">
        <v>190</v>
      </c>
      <c r="M5" s="69" t="s">
        <v>205</v>
      </c>
      <c r="N5" s="69" t="s">
        <v>205</v>
      </c>
      <c r="O5" s="69" t="s">
        <v>186</v>
      </c>
      <c r="P5" s="69" t="s">
        <v>186</v>
      </c>
      <c r="Q5" s="69" t="s">
        <v>410</v>
      </c>
      <c r="R5" s="69" t="s">
        <v>206</v>
      </c>
      <c r="S5" s="69" t="s">
        <v>207</v>
      </c>
      <c r="T5" s="69" t="s">
        <v>208</v>
      </c>
      <c r="U5" s="69" t="s">
        <v>209</v>
      </c>
      <c r="V5" s="69" t="s">
        <v>210</v>
      </c>
      <c r="W5" s="69" t="s">
        <v>210</v>
      </c>
      <c r="X5" s="69" t="s">
        <v>211</v>
      </c>
      <c r="Y5" s="69" t="s">
        <v>236</v>
      </c>
      <c r="Z5" s="69"/>
      <c r="AA5" s="69" t="s">
        <v>236</v>
      </c>
      <c r="AB5" s="69" t="s">
        <v>236</v>
      </c>
      <c r="AC5" s="69" t="s">
        <v>237</v>
      </c>
      <c r="AD5" s="69" t="s">
        <v>238</v>
      </c>
      <c r="AE5" s="69" t="s">
        <v>187</v>
      </c>
      <c r="AF5" s="69" t="s">
        <v>187</v>
      </c>
      <c r="AG5" s="69" t="s">
        <v>239</v>
      </c>
      <c r="AH5" s="69" t="s">
        <v>239</v>
      </c>
      <c r="AI5" s="69" t="s">
        <v>240</v>
      </c>
      <c r="AJ5" s="69" t="s">
        <v>185</v>
      </c>
      <c r="AK5" s="69" t="s">
        <v>102</v>
      </c>
      <c r="AL5" s="69" t="s">
        <v>399</v>
      </c>
      <c r="AM5" s="69" t="s">
        <v>203</v>
      </c>
      <c r="AN5" s="69" t="s">
        <v>203</v>
      </c>
      <c r="AO5" s="69" t="s">
        <v>203</v>
      </c>
      <c r="AP5" s="69" t="s">
        <v>277</v>
      </c>
      <c r="AQ5" s="69" t="s">
        <v>277</v>
      </c>
      <c r="AR5" s="69" t="s">
        <v>188</v>
      </c>
      <c r="AS5" s="69" t="s">
        <v>399</v>
      </c>
      <c r="AT5" s="69" t="s">
        <v>278</v>
      </c>
      <c r="AU5" s="69" t="s">
        <v>278</v>
      </c>
      <c r="AV5" s="69" t="s">
        <v>279</v>
      </c>
    </row>
    <row r="6" spans="1:48" ht="12.75">
      <c r="A6" s="69"/>
      <c r="B6" s="69"/>
      <c r="C6" s="69" t="s">
        <v>191</v>
      </c>
      <c r="D6" s="69" t="s">
        <v>192</v>
      </c>
      <c r="E6" s="69" t="s">
        <v>192</v>
      </c>
      <c r="F6" s="69" t="s">
        <v>193</v>
      </c>
      <c r="G6" s="69"/>
      <c r="H6" s="69" t="s">
        <v>194</v>
      </c>
      <c r="I6" s="69" t="s">
        <v>195</v>
      </c>
      <c r="J6" s="69" t="s">
        <v>187</v>
      </c>
      <c r="K6" s="69" t="s">
        <v>193</v>
      </c>
      <c r="L6" s="69" t="s">
        <v>196</v>
      </c>
      <c r="M6" s="69" t="s">
        <v>212</v>
      </c>
      <c r="N6" s="69" t="s">
        <v>212</v>
      </c>
      <c r="O6" s="69" t="s">
        <v>213</v>
      </c>
      <c r="P6" s="69" t="s">
        <v>214</v>
      </c>
      <c r="Q6" s="69" t="s">
        <v>400</v>
      </c>
      <c r="R6" s="69" t="s">
        <v>216</v>
      </c>
      <c r="S6" s="69" t="s">
        <v>215</v>
      </c>
      <c r="T6" s="69" t="s">
        <v>217</v>
      </c>
      <c r="U6" s="69" t="s">
        <v>218</v>
      </c>
      <c r="V6" s="69" t="s">
        <v>188</v>
      </c>
      <c r="W6" s="69" t="s">
        <v>188</v>
      </c>
      <c r="X6" s="69"/>
      <c r="Y6" s="69" t="s">
        <v>241</v>
      </c>
      <c r="Z6" s="69"/>
      <c r="AA6" s="69" t="s">
        <v>242</v>
      </c>
      <c r="AB6" s="69" t="s">
        <v>242</v>
      </c>
      <c r="AC6" s="69" t="s">
        <v>243</v>
      </c>
      <c r="AD6" s="69" t="s">
        <v>244</v>
      </c>
      <c r="AE6" s="69" t="s">
        <v>192</v>
      </c>
      <c r="AF6" s="69" t="s">
        <v>245</v>
      </c>
      <c r="AG6" s="69" t="s">
        <v>246</v>
      </c>
      <c r="AH6" s="69" t="s">
        <v>246</v>
      </c>
      <c r="AI6" s="69" t="s">
        <v>247</v>
      </c>
      <c r="AJ6" s="69" t="s">
        <v>187</v>
      </c>
      <c r="AK6" s="69" t="s">
        <v>422</v>
      </c>
      <c r="AL6" s="69" t="s">
        <v>421</v>
      </c>
      <c r="AM6" s="69" t="s">
        <v>188</v>
      </c>
      <c r="AN6" s="69" t="s">
        <v>188</v>
      </c>
      <c r="AO6" s="69" t="s">
        <v>188</v>
      </c>
      <c r="AP6" s="69" t="s">
        <v>274</v>
      </c>
      <c r="AQ6" s="69" t="s">
        <v>274</v>
      </c>
      <c r="AR6" s="69" t="s">
        <v>280</v>
      </c>
      <c r="AS6" s="69"/>
      <c r="AT6" s="69" t="s">
        <v>188</v>
      </c>
      <c r="AU6" s="69" t="s">
        <v>188</v>
      </c>
      <c r="AV6" s="69" t="s">
        <v>188</v>
      </c>
    </row>
    <row r="7" spans="1:48" ht="12.75">
      <c r="A7" s="69"/>
      <c r="B7" s="69"/>
      <c r="C7" s="69" t="s">
        <v>197</v>
      </c>
      <c r="D7" s="69" t="s">
        <v>198</v>
      </c>
      <c r="E7" s="69" t="s">
        <v>199</v>
      </c>
      <c r="F7" s="69" t="s">
        <v>188</v>
      </c>
      <c r="G7" s="69"/>
      <c r="H7" s="69" t="s">
        <v>182</v>
      </c>
      <c r="I7" s="69"/>
      <c r="J7" s="69" t="s">
        <v>192</v>
      </c>
      <c r="K7" s="69" t="s">
        <v>188</v>
      </c>
      <c r="L7" s="69"/>
      <c r="M7" s="69" t="s">
        <v>219</v>
      </c>
      <c r="N7" s="69" t="s">
        <v>219</v>
      </c>
      <c r="O7" s="69" t="s">
        <v>220</v>
      </c>
      <c r="P7" s="69" t="s">
        <v>197</v>
      </c>
      <c r="Q7" s="69" t="s">
        <v>401</v>
      </c>
      <c r="R7" s="69" t="s">
        <v>221</v>
      </c>
      <c r="S7" s="69" t="s">
        <v>222</v>
      </c>
      <c r="T7" s="69" t="s">
        <v>186</v>
      </c>
      <c r="U7" s="69" t="s">
        <v>223</v>
      </c>
      <c r="V7" s="69" t="s">
        <v>224</v>
      </c>
      <c r="W7" s="69" t="s">
        <v>225</v>
      </c>
      <c r="X7" s="69"/>
      <c r="Y7" s="69" t="s">
        <v>219</v>
      </c>
      <c r="Z7" s="69"/>
      <c r="AA7" s="69" t="s">
        <v>248</v>
      </c>
      <c r="AB7" s="69" t="s">
        <v>248</v>
      </c>
      <c r="AC7" s="69" t="s">
        <v>185</v>
      </c>
      <c r="AD7" s="69" t="s">
        <v>249</v>
      </c>
      <c r="AE7" s="69" t="s">
        <v>250</v>
      </c>
      <c r="AF7" s="69" t="s">
        <v>251</v>
      </c>
      <c r="AG7" s="69" t="s">
        <v>252</v>
      </c>
      <c r="AH7" s="69" t="s">
        <v>252</v>
      </c>
      <c r="AI7" s="69" t="s">
        <v>253</v>
      </c>
      <c r="AJ7" s="69" t="s">
        <v>192</v>
      </c>
      <c r="AK7" s="69" t="s">
        <v>423</v>
      </c>
      <c r="AL7" s="69" t="s">
        <v>102</v>
      </c>
      <c r="AM7" s="69" t="s">
        <v>281</v>
      </c>
      <c r="AN7" s="69" t="s">
        <v>281</v>
      </c>
      <c r="AO7" s="69" t="s">
        <v>281</v>
      </c>
      <c r="AP7" s="69" t="s">
        <v>282</v>
      </c>
      <c r="AQ7" s="69" t="s">
        <v>282</v>
      </c>
      <c r="AR7" s="69" t="s">
        <v>186</v>
      </c>
      <c r="AS7" s="69"/>
      <c r="AT7" s="69" t="s">
        <v>283</v>
      </c>
      <c r="AU7" s="69" t="s">
        <v>182</v>
      </c>
      <c r="AV7" s="69" t="s">
        <v>194</v>
      </c>
    </row>
    <row r="8" spans="1:48" ht="12.75">
      <c r="A8" s="69"/>
      <c r="B8" s="69"/>
      <c r="C8" s="69" t="s">
        <v>200</v>
      </c>
      <c r="D8" s="69" t="s">
        <v>191</v>
      </c>
      <c r="E8" s="69" t="s">
        <v>191</v>
      </c>
      <c r="F8" s="69" t="s">
        <v>191</v>
      </c>
      <c r="G8" s="69"/>
      <c r="H8" s="69" t="s">
        <v>179</v>
      </c>
      <c r="I8" s="69"/>
      <c r="J8" s="69" t="s">
        <v>199</v>
      </c>
      <c r="K8" s="69" t="s">
        <v>189</v>
      </c>
      <c r="L8" s="69"/>
      <c r="M8" s="69" t="s">
        <v>226</v>
      </c>
      <c r="N8" s="69" t="s">
        <v>226</v>
      </c>
      <c r="O8" s="69" t="s">
        <v>227</v>
      </c>
      <c r="P8" s="69" t="s">
        <v>228</v>
      </c>
      <c r="Q8" s="69" t="s">
        <v>402</v>
      </c>
      <c r="R8" s="69" t="s">
        <v>215</v>
      </c>
      <c r="S8" s="69"/>
      <c r="T8" s="69" t="s">
        <v>229</v>
      </c>
      <c r="U8" s="69" t="s">
        <v>230</v>
      </c>
      <c r="V8" s="69" t="s">
        <v>231</v>
      </c>
      <c r="W8" s="69" t="s">
        <v>231</v>
      </c>
      <c r="X8" s="69"/>
      <c r="Y8" s="69" t="s">
        <v>254</v>
      </c>
      <c r="Z8" s="69"/>
      <c r="AA8" s="69" t="s">
        <v>185</v>
      </c>
      <c r="AB8" s="69" t="s">
        <v>185</v>
      </c>
      <c r="AC8" s="69" t="s">
        <v>187</v>
      </c>
      <c r="AD8" s="69" t="s">
        <v>255</v>
      </c>
      <c r="AE8" s="69" t="s">
        <v>256</v>
      </c>
      <c r="AF8" s="69" t="s">
        <v>257</v>
      </c>
      <c r="AG8" s="69" t="s">
        <v>184</v>
      </c>
      <c r="AH8" s="69" t="s">
        <v>184</v>
      </c>
      <c r="AI8" s="69" t="s">
        <v>258</v>
      </c>
      <c r="AJ8" s="69" t="s">
        <v>240</v>
      </c>
      <c r="AK8" s="69"/>
      <c r="AL8" s="69" t="s">
        <v>422</v>
      </c>
      <c r="AM8" s="69" t="s">
        <v>284</v>
      </c>
      <c r="AN8" s="69" t="s">
        <v>284</v>
      </c>
      <c r="AO8" s="69" t="s">
        <v>284</v>
      </c>
      <c r="AP8" s="69" t="s">
        <v>281</v>
      </c>
      <c r="AQ8" s="69" t="s">
        <v>281</v>
      </c>
      <c r="AR8" s="69" t="s">
        <v>285</v>
      </c>
      <c r="AS8" s="69"/>
      <c r="AT8" s="69" t="s">
        <v>286</v>
      </c>
      <c r="AU8" s="69" t="s">
        <v>197</v>
      </c>
      <c r="AV8" s="69" t="s">
        <v>275</v>
      </c>
    </row>
    <row r="9" spans="1:48" ht="12.75">
      <c r="A9" s="69"/>
      <c r="B9" s="69"/>
      <c r="C9" s="69"/>
      <c r="D9" s="69" t="s">
        <v>197</v>
      </c>
      <c r="E9" s="69" t="s">
        <v>197</v>
      </c>
      <c r="F9" s="69" t="s">
        <v>197</v>
      </c>
      <c r="G9" s="69"/>
      <c r="H9" s="69"/>
      <c r="I9" s="69"/>
      <c r="J9" s="69" t="s">
        <v>189</v>
      </c>
      <c r="K9" s="69" t="s">
        <v>195</v>
      </c>
      <c r="L9" s="69"/>
      <c r="M9" s="69" t="s">
        <v>185</v>
      </c>
      <c r="N9" s="69" t="s">
        <v>185</v>
      </c>
      <c r="O9" s="69"/>
      <c r="P9" s="69"/>
      <c r="Q9" s="69" t="s">
        <v>403</v>
      </c>
      <c r="R9" s="69" t="s">
        <v>232</v>
      </c>
      <c r="S9" s="69"/>
      <c r="T9" s="69" t="s">
        <v>233</v>
      </c>
      <c r="U9" s="69"/>
      <c r="V9" s="69"/>
      <c r="W9" s="69"/>
      <c r="X9" s="69"/>
      <c r="Y9" s="69" t="s">
        <v>187</v>
      </c>
      <c r="Z9" s="69"/>
      <c r="AA9" s="69" t="s">
        <v>187</v>
      </c>
      <c r="AB9" s="69" t="s">
        <v>187</v>
      </c>
      <c r="AC9" s="69"/>
      <c r="AD9" s="69" t="s">
        <v>259</v>
      </c>
      <c r="AE9" s="69"/>
      <c r="AF9" s="69" t="s">
        <v>260</v>
      </c>
      <c r="AG9" s="69" t="s">
        <v>261</v>
      </c>
      <c r="AH9" s="69" t="s">
        <v>262</v>
      </c>
      <c r="AI9" s="69" t="s">
        <v>185</v>
      </c>
      <c r="AJ9" s="69" t="s">
        <v>263</v>
      </c>
      <c r="AK9" s="69"/>
      <c r="AL9" s="69" t="s">
        <v>423</v>
      </c>
      <c r="AM9" s="69" t="s">
        <v>287</v>
      </c>
      <c r="AN9" s="69" t="s">
        <v>287</v>
      </c>
      <c r="AO9" s="69" t="s">
        <v>287</v>
      </c>
      <c r="AP9" s="69" t="s">
        <v>288</v>
      </c>
      <c r="AQ9" s="69" t="s">
        <v>288</v>
      </c>
      <c r="AR9" s="69" t="s">
        <v>289</v>
      </c>
      <c r="AS9" s="69"/>
      <c r="AT9" s="69" t="s">
        <v>290</v>
      </c>
      <c r="AU9" s="69" t="s">
        <v>291</v>
      </c>
      <c r="AV9" s="69" t="s">
        <v>278</v>
      </c>
    </row>
    <row r="10" spans="1:70" ht="12.75">
      <c r="A10" s="69"/>
      <c r="B10" s="69"/>
      <c r="C10" s="69"/>
      <c r="D10" s="69" t="s">
        <v>200</v>
      </c>
      <c r="E10" s="69" t="s">
        <v>200</v>
      </c>
      <c r="F10" s="69" t="s">
        <v>200</v>
      </c>
      <c r="G10" s="69"/>
      <c r="H10" s="69"/>
      <c r="I10" s="69"/>
      <c r="J10" s="69" t="s">
        <v>195</v>
      </c>
      <c r="K10" s="69"/>
      <c r="L10" s="69"/>
      <c r="M10" s="69" t="s">
        <v>234</v>
      </c>
      <c r="N10" s="69" t="s">
        <v>234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 t="s">
        <v>264</v>
      </c>
      <c r="AE10" s="69"/>
      <c r="AF10" s="69" t="s">
        <v>265</v>
      </c>
      <c r="AG10" s="69" t="s">
        <v>266</v>
      </c>
      <c r="AH10" s="69" t="s">
        <v>267</v>
      </c>
      <c r="AI10" s="69" t="s">
        <v>187</v>
      </c>
      <c r="AJ10" s="69" t="s">
        <v>268</v>
      </c>
      <c r="AK10" s="69"/>
      <c r="AL10" s="69"/>
      <c r="AM10" s="69" t="s">
        <v>292</v>
      </c>
      <c r="AN10" s="69" t="s">
        <v>293</v>
      </c>
      <c r="AO10" s="69" t="s">
        <v>294</v>
      </c>
      <c r="AP10" s="69" t="s">
        <v>293</v>
      </c>
      <c r="AQ10" s="69" t="s">
        <v>294</v>
      </c>
      <c r="AR10" s="69" t="s">
        <v>295</v>
      </c>
      <c r="AS10" s="69"/>
      <c r="AT10" s="69" t="s">
        <v>296</v>
      </c>
      <c r="AU10" s="69"/>
      <c r="AV10" s="69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97" ht="12.75">
      <c r="A13" s="69"/>
      <c r="B13" s="69"/>
      <c r="C13" s="69">
        <v>3</v>
      </c>
      <c r="D13" s="69">
        <f>+C13+1</f>
        <v>4</v>
      </c>
      <c r="E13" s="69">
        <f aca="true" t="shared" si="0" ref="E13:AS14">+D13+1</f>
        <v>5</v>
      </c>
      <c r="F13" s="69">
        <f t="shared" si="0"/>
        <v>6</v>
      </c>
      <c r="G13" s="69">
        <f t="shared" si="0"/>
        <v>7</v>
      </c>
      <c r="H13" s="69">
        <f t="shared" si="0"/>
        <v>8</v>
      </c>
      <c r="I13" s="69">
        <f t="shared" si="0"/>
        <v>9</v>
      </c>
      <c r="J13" s="69">
        <f t="shared" si="0"/>
        <v>10</v>
      </c>
      <c r="K13" s="69">
        <f t="shared" si="0"/>
        <v>11</v>
      </c>
      <c r="L13" s="69">
        <f t="shared" si="0"/>
        <v>12</v>
      </c>
      <c r="M13" s="69">
        <f t="shared" si="0"/>
        <v>13</v>
      </c>
      <c r="N13" s="69">
        <f t="shared" si="0"/>
        <v>14</v>
      </c>
      <c r="O13" s="69">
        <f t="shared" si="0"/>
        <v>15</v>
      </c>
      <c r="P13" s="69">
        <f t="shared" si="0"/>
        <v>16</v>
      </c>
      <c r="Q13" s="69">
        <f t="shared" si="0"/>
        <v>17</v>
      </c>
      <c r="R13" s="69">
        <f t="shared" si="0"/>
        <v>18</v>
      </c>
      <c r="S13" s="69">
        <f t="shared" si="0"/>
        <v>19</v>
      </c>
      <c r="T13" s="69">
        <f t="shared" si="0"/>
        <v>20</v>
      </c>
      <c r="U13" s="69">
        <f t="shared" si="0"/>
        <v>21</v>
      </c>
      <c r="V13" s="69">
        <f t="shared" si="0"/>
        <v>22</v>
      </c>
      <c r="W13" s="69">
        <f t="shared" si="0"/>
        <v>23</v>
      </c>
      <c r="X13" s="69">
        <f t="shared" si="0"/>
        <v>24</v>
      </c>
      <c r="Y13" s="69">
        <f t="shared" si="0"/>
        <v>25</v>
      </c>
      <c r="Z13" s="69">
        <f t="shared" si="0"/>
        <v>26</v>
      </c>
      <c r="AA13" s="69">
        <f t="shared" si="0"/>
        <v>27</v>
      </c>
      <c r="AB13" s="69">
        <f t="shared" si="0"/>
        <v>28</v>
      </c>
      <c r="AC13" s="69">
        <f t="shared" si="0"/>
        <v>29</v>
      </c>
      <c r="AD13" s="69">
        <f t="shared" si="0"/>
        <v>30</v>
      </c>
      <c r="AE13" s="69">
        <f t="shared" si="0"/>
        <v>31</v>
      </c>
      <c r="AF13" s="69">
        <f t="shared" si="0"/>
        <v>32</v>
      </c>
      <c r="AG13" s="69">
        <f t="shared" si="0"/>
        <v>33</v>
      </c>
      <c r="AH13" s="69">
        <f t="shared" si="0"/>
        <v>34</v>
      </c>
      <c r="AI13" s="69">
        <f t="shared" si="0"/>
        <v>35</v>
      </c>
      <c r="AJ13" s="69">
        <f t="shared" si="0"/>
        <v>36</v>
      </c>
      <c r="AK13" s="69">
        <f t="shared" si="0"/>
        <v>37</v>
      </c>
      <c r="AL13" s="69">
        <f aca="true" t="shared" si="1" ref="AL13:AN14">+AK13+1</f>
        <v>38</v>
      </c>
      <c r="AM13" s="69">
        <f t="shared" si="1"/>
        <v>39</v>
      </c>
      <c r="AN13" s="69">
        <f t="shared" si="1"/>
        <v>40</v>
      </c>
      <c r="AO13" s="69">
        <f t="shared" si="0"/>
        <v>41</v>
      </c>
      <c r="AP13" s="69">
        <f t="shared" si="0"/>
        <v>42</v>
      </c>
      <c r="AQ13" s="69">
        <f t="shared" si="0"/>
        <v>43</v>
      </c>
      <c r="AR13" s="69">
        <f t="shared" si="0"/>
        <v>44</v>
      </c>
      <c r="AS13" s="69">
        <f t="shared" si="0"/>
        <v>45</v>
      </c>
      <c r="AT13" s="69">
        <f aca="true" t="shared" si="2" ref="AT13:AV14">+AS13+1</f>
        <v>46</v>
      </c>
      <c r="AU13" s="69">
        <f t="shared" si="2"/>
        <v>47</v>
      </c>
      <c r="AV13" s="69">
        <f t="shared" si="2"/>
        <v>48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48" ht="12.75">
      <c r="A14" s="70"/>
      <c r="B14" s="70"/>
      <c r="C14" s="70">
        <v>1</v>
      </c>
      <c r="D14" s="70">
        <f>+C14+1</f>
        <v>2</v>
      </c>
      <c r="E14" s="70">
        <f t="shared" si="0"/>
        <v>3</v>
      </c>
      <c r="F14" s="70">
        <f t="shared" si="0"/>
        <v>4</v>
      </c>
      <c r="G14" s="70">
        <f t="shared" si="0"/>
        <v>5</v>
      </c>
      <c r="H14" s="70">
        <f t="shared" si="0"/>
        <v>6</v>
      </c>
      <c r="I14" s="70">
        <f t="shared" si="0"/>
        <v>7</v>
      </c>
      <c r="J14" s="70">
        <f t="shared" si="0"/>
        <v>8</v>
      </c>
      <c r="K14" s="70">
        <f t="shared" si="0"/>
        <v>9</v>
      </c>
      <c r="L14" s="70">
        <f t="shared" si="0"/>
        <v>10</v>
      </c>
      <c r="M14" s="70">
        <f t="shared" si="0"/>
        <v>11</v>
      </c>
      <c r="N14" s="70">
        <f t="shared" si="0"/>
        <v>12</v>
      </c>
      <c r="O14" s="70">
        <f t="shared" si="0"/>
        <v>13</v>
      </c>
      <c r="P14" s="70">
        <f t="shared" si="0"/>
        <v>14</v>
      </c>
      <c r="Q14" s="70">
        <f t="shared" si="0"/>
        <v>15</v>
      </c>
      <c r="R14" s="70">
        <f t="shared" si="0"/>
        <v>16</v>
      </c>
      <c r="S14" s="70">
        <f t="shared" si="0"/>
        <v>17</v>
      </c>
      <c r="T14" s="70">
        <f t="shared" si="0"/>
        <v>18</v>
      </c>
      <c r="U14" s="70">
        <f t="shared" si="0"/>
        <v>19</v>
      </c>
      <c r="V14" s="70">
        <f t="shared" si="0"/>
        <v>20</v>
      </c>
      <c r="W14" s="70">
        <f t="shared" si="0"/>
        <v>21</v>
      </c>
      <c r="X14" s="70">
        <f t="shared" si="0"/>
        <v>22</v>
      </c>
      <c r="Y14" s="70">
        <f t="shared" si="0"/>
        <v>23</v>
      </c>
      <c r="Z14" s="70">
        <f t="shared" si="0"/>
        <v>24</v>
      </c>
      <c r="AA14" s="70">
        <f t="shared" si="0"/>
        <v>25</v>
      </c>
      <c r="AB14" s="70">
        <f t="shared" si="0"/>
        <v>26</v>
      </c>
      <c r="AC14" s="70">
        <f t="shared" si="0"/>
        <v>27</v>
      </c>
      <c r="AD14" s="70">
        <f t="shared" si="0"/>
        <v>28</v>
      </c>
      <c r="AE14" s="70">
        <f t="shared" si="0"/>
        <v>29</v>
      </c>
      <c r="AF14" s="70">
        <f t="shared" si="0"/>
        <v>30</v>
      </c>
      <c r="AG14" s="70">
        <f t="shared" si="0"/>
        <v>31</v>
      </c>
      <c r="AH14" s="70">
        <f>+AG14+1</f>
        <v>32</v>
      </c>
      <c r="AI14" s="70">
        <f>+AH14+1</f>
        <v>33</v>
      </c>
      <c r="AJ14" s="70">
        <f>+AI14+1</f>
        <v>34</v>
      </c>
      <c r="AK14" s="70">
        <f>+AJ14+1</f>
        <v>35</v>
      </c>
      <c r="AL14" s="70">
        <f t="shared" si="1"/>
        <v>36</v>
      </c>
      <c r="AM14" s="70">
        <f t="shared" si="1"/>
        <v>37</v>
      </c>
      <c r="AN14" s="70">
        <f t="shared" si="1"/>
        <v>38</v>
      </c>
      <c r="AO14" s="70">
        <f t="shared" si="0"/>
        <v>39</v>
      </c>
      <c r="AP14" s="70">
        <f t="shared" si="0"/>
        <v>40</v>
      </c>
      <c r="AQ14" s="70">
        <f t="shared" si="0"/>
        <v>41</v>
      </c>
      <c r="AR14" s="70">
        <f t="shared" si="0"/>
        <v>42</v>
      </c>
      <c r="AS14" s="70">
        <f t="shared" si="0"/>
        <v>43</v>
      </c>
      <c r="AT14" s="70">
        <f t="shared" si="2"/>
        <v>44</v>
      </c>
      <c r="AU14" s="70">
        <f t="shared" si="2"/>
        <v>45</v>
      </c>
      <c r="AV14" s="70">
        <f t="shared" si="2"/>
        <v>46</v>
      </c>
    </row>
    <row r="15" spans="3:21" ht="6.7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70" ht="12.75">
      <c r="A16" s="75">
        <v>1</v>
      </c>
      <c r="B16" s="77" t="s">
        <v>127</v>
      </c>
      <c r="C16" s="78">
        <f aca="true" t="shared" si="3" ref="C16:AN16">SUM(C18:C115)</f>
        <v>0</v>
      </c>
      <c r="D16" s="78">
        <f t="shared" si="3"/>
        <v>434796</v>
      </c>
      <c r="E16" s="78">
        <f t="shared" si="3"/>
        <v>-1106172</v>
      </c>
      <c r="F16" s="78">
        <f t="shared" si="3"/>
        <v>671376</v>
      </c>
      <c r="G16" s="78">
        <f t="shared" si="3"/>
        <v>352740</v>
      </c>
      <c r="H16" s="78">
        <f t="shared" si="3"/>
        <v>-352740</v>
      </c>
      <c r="I16" s="78">
        <f t="shared" si="3"/>
        <v>0</v>
      </c>
      <c r="J16" s="78">
        <f t="shared" si="3"/>
        <v>197544</v>
      </c>
      <c r="K16" s="78">
        <f t="shared" si="3"/>
        <v>-197544</v>
      </c>
      <c r="L16" s="78">
        <f t="shared" si="3"/>
        <v>0</v>
      </c>
      <c r="M16" s="78">
        <f t="shared" si="3"/>
        <v>2658000</v>
      </c>
      <c r="N16" s="78">
        <f t="shared" si="3"/>
        <v>-2658000</v>
      </c>
      <c r="O16" s="78">
        <f t="shared" si="3"/>
        <v>0</v>
      </c>
      <c r="P16" s="78">
        <f t="shared" si="3"/>
        <v>0</v>
      </c>
      <c r="Q16" s="78">
        <f t="shared" si="3"/>
        <v>768204</v>
      </c>
      <c r="R16" s="78">
        <f t="shared" si="3"/>
        <v>1029504</v>
      </c>
      <c r="S16" s="78">
        <f t="shared" si="3"/>
        <v>1078200</v>
      </c>
      <c r="T16" s="78">
        <f t="shared" si="3"/>
        <v>102900</v>
      </c>
      <c r="U16" s="78">
        <f t="shared" si="3"/>
        <v>576600</v>
      </c>
      <c r="V16" s="78">
        <f t="shared" si="3"/>
        <v>3000000</v>
      </c>
      <c r="W16" s="78">
        <f t="shared" si="3"/>
        <v>999996</v>
      </c>
      <c r="X16" s="78">
        <f t="shared" si="3"/>
        <v>87385908</v>
      </c>
      <c r="Y16" s="78">
        <f t="shared" si="3"/>
        <v>1522500</v>
      </c>
      <c r="Z16" s="78">
        <f t="shared" si="3"/>
        <v>0</v>
      </c>
      <c r="AA16" s="78">
        <f t="shared" si="3"/>
        <v>613704</v>
      </c>
      <c r="AB16" s="78">
        <f t="shared" si="3"/>
        <v>-366996</v>
      </c>
      <c r="AC16" s="78">
        <f t="shared" si="3"/>
        <v>101496</v>
      </c>
      <c r="AD16" s="78">
        <f t="shared" si="3"/>
        <v>91404</v>
      </c>
      <c r="AE16" s="78">
        <f t="shared" si="3"/>
        <v>120504</v>
      </c>
      <c r="AF16" s="78">
        <f t="shared" si="3"/>
        <v>201600</v>
      </c>
      <c r="AG16" s="78">
        <f t="shared" si="3"/>
        <v>39000</v>
      </c>
      <c r="AH16" s="78">
        <f t="shared" si="3"/>
        <v>91800</v>
      </c>
      <c r="AI16" s="78">
        <f t="shared" si="3"/>
        <v>936</v>
      </c>
      <c r="AJ16" s="78">
        <f t="shared" si="3"/>
        <v>323196</v>
      </c>
      <c r="AK16" s="78">
        <f t="shared" si="3"/>
        <v>78132</v>
      </c>
      <c r="AL16" s="78">
        <f t="shared" si="3"/>
        <v>-78132</v>
      </c>
      <c r="AM16" s="78">
        <f t="shared" si="3"/>
        <v>14568</v>
      </c>
      <c r="AN16" s="78">
        <f t="shared" si="3"/>
        <v>55080</v>
      </c>
      <c r="AO16" s="78">
        <f aca="true" t="shared" si="4" ref="AO16:AV16">SUM(AO18:AO115)</f>
        <v>5580</v>
      </c>
      <c r="AP16" s="78">
        <f t="shared" si="4"/>
        <v>-34692</v>
      </c>
      <c r="AQ16" s="78">
        <f t="shared" si="4"/>
        <v>-34272</v>
      </c>
      <c r="AR16" s="78">
        <f t="shared" si="4"/>
        <v>0</v>
      </c>
      <c r="AS16" s="78">
        <f t="shared" si="4"/>
        <v>3500004</v>
      </c>
      <c r="AT16" s="78">
        <f t="shared" si="4"/>
        <v>1123548</v>
      </c>
      <c r="AU16" s="78">
        <f t="shared" si="4"/>
        <v>-231072</v>
      </c>
      <c r="AV16" s="78">
        <f t="shared" si="4"/>
        <v>231072</v>
      </c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ht="6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BA17"/>
      <c r="BB17"/>
      <c r="BC17"/>
      <c r="BD17"/>
      <c r="BE17"/>
      <c r="BF17"/>
      <c r="BG17"/>
      <c r="BH17"/>
      <c r="BI17"/>
      <c r="BJ17"/>
      <c r="BK17"/>
      <c r="BL17"/>
      <c r="BM17" s="5"/>
      <c r="BN17" s="5"/>
      <c r="BO17" s="5"/>
      <c r="BP17" s="5"/>
      <c r="BQ17" s="5"/>
      <c r="BR17" s="5"/>
    </row>
    <row r="18" spans="1:70" ht="12.75">
      <c r="A18" s="75">
        <v>101</v>
      </c>
      <c r="B18" s="77" t="s">
        <v>98</v>
      </c>
      <c r="C18" s="78">
        <v>-544812</v>
      </c>
      <c r="D18" s="78">
        <v>0</v>
      </c>
      <c r="E18" s="78">
        <v>0</v>
      </c>
      <c r="F18" s="78">
        <v>73608</v>
      </c>
      <c r="G18" s="78">
        <v>0</v>
      </c>
      <c r="H18" s="78">
        <v>-38676</v>
      </c>
      <c r="I18" s="78">
        <v>-1805088</v>
      </c>
      <c r="J18" s="78">
        <v>0</v>
      </c>
      <c r="K18" s="78">
        <v>-21660</v>
      </c>
      <c r="L18" s="78">
        <v>182604</v>
      </c>
      <c r="M18" s="78">
        <v>414672</v>
      </c>
      <c r="N18" s="78">
        <v>-291432</v>
      </c>
      <c r="O18" s="78">
        <v>-331716</v>
      </c>
      <c r="P18" s="78">
        <v>-20328</v>
      </c>
      <c r="Q18" s="78">
        <v>41508</v>
      </c>
      <c r="R18" s="78">
        <v>55632</v>
      </c>
      <c r="S18" s="78">
        <v>58260</v>
      </c>
      <c r="T18" s="78">
        <v>5556</v>
      </c>
      <c r="U18" s="78">
        <v>73620</v>
      </c>
      <c r="V18" s="78">
        <v>328932</v>
      </c>
      <c r="W18" s="78">
        <v>109644</v>
      </c>
      <c r="X18" s="78">
        <v>9581328</v>
      </c>
      <c r="Y18" s="78">
        <v>0</v>
      </c>
      <c r="Z18" s="78">
        <v>0</v>
      </c>
      <c r="AA18" s="78">
        <v>0</v>
      </c>
      <c r="AB18" s="78">
        <v>-51372</v>
      </c>
      <c r="AC18" s="78">
        <v>25380</v>
      </c>
      <c r="AD18" s="78">
        <v>25392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-21228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164460</v>
      </c>
      <c r="AT18" s="78">
        <v>0</v>
      </c>
      <c r="AU18" s="78">
        <v>339228</v>
      </c>
      <c r="AV18" s="78">
        <v>25332</v>
      </c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ht="12.75">
      <c r="A19" s="75">
        <v>147</v>
      </c>
      <c r="B19" s="77" t="s">
        <v>99</v>
      </c>
      <c r="C19" s="78">
        <v>-1082448</v>
      </c>
      <c r="D19" s="78">
        <v>0</v>
      </c>
      <c r="E19" s="78">
        <v>-27636</v>
      </c>
      <c r="F19" s="78">
        <v>11976</v>
      </c>
      <c r="G19" s="78">
        <v>9744</v>
      </c>
      <c r="H19" s="78">
        <v>-6288</v>
      </c>
      <c r="I19" s="78">
        <v>-613632</v>
      </c>
      <c r="J19" s="78">
        <v>0</v>
      </c>
      <c r="K19" s="78">
        <v>-3528</v>
      </c>
      <c r="L19" s="78">
        <v>-24384</v>
      </c>
      <c r="M19" s="78">
        <v>44220</v>
      </c>
      <c r="N19" s="78">
        <v>-47388</v>
      </c>
      <c r="O19" s="78">
        <v>33960</v>
      </c>
      <c r="P19" s="78">
        <v>-1788</v>
      </c>
      <c r="Q19" s="78">
        <v>12120</v>
      </c>
      <c r="R19" s="78">
        <v>16248</v>
      </c>
      <c r="S19" s="78">
        <v>17016</v>
      </c>
      <c r="T19" s="78">
        <v>1620</v>
      </c>
      <c r="U19" s="78">
        <v>11148</v>
      </c>
      <c r="V19" s="78">
        <v>53484</v>
      </c>
      <c r="W19" s="78">
        <v>17832</v>
      </c>
      <c r="X19" s="78">
        <v>1558068</v>
      </c>
      <c r="Y19" s="78">
        <v>0</v>
      </c>
      <c r="Z19" s="78">
        <v>0</v>
      </c>
      <c r="AA19" s="78">
        <v>0</v>
      </c>
      <c r="AB19" s="78">
        <v>-10680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-4320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26748</v>
      </c>
      <c r="AT19" s="78">
        <v>0</v>
      </c>
      <c r="AU19" s="78">
        <v>0</v>
      </c>
      <c r="AV19" s="78">
        <v>4116</v>
      </c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ht="12.75">
      <c r="A20" s="75">
        <v>151</v>
      </c>
      <c r="B20" s="77" t="s">
        <v>15</v>
      </c>
      <c r="C20" s="78">
        <v>-164676</v>
      </c>
      <c r="D20" s="78">
        <v>0</v>
      </c>
      <c r="E20" s="78">
        <v>0</v>
      </c>
      <c r="F20" s="78">
        <v>5592</v>
      </c>
      <c r="G20" s="78">
        <v>0</v>
      </c>
      <c r="H20" s="78">
        <v>-2940</v>
      </c>
      <c r="I20" s="78">
        <v>343056</v>
      </c>
      <c r="J20" s="78">
        <v>7380</v>
      </c>
      <c r="K20" s="78">
        <v>-1644</v>
      </c>
      <c r="L20" s="78">
        <v>-11340</v>
      </c>
      <c r="M20" s="78">
        <v>27180</v>
      </c>
      <c r="N20" s="78">
        <v>-22128</v>
      </c>
      <c r="O20" s="78">
        <v>-114480</v>
      </c>
      <c r="P20" s="78">
        <v>84</v>
      </c>
      <c r="Q20" s="78">
        <v>6960</v>
      </c>
      <c r="R20" s="78">
        <v>9324</v>
      </c>
      <c r="S20" s="78">
        <v>9768</v>
      </c>
      <c r="T20" s="78">
        <v>936</v>
      </c>
      <c r="U20" s="78">
        <v>5220</v>
      </c>
      <c r="V20" s="78">
        <v>24984</v>
      </c>
      <c r="W20" s="78">
        <v>8328</v>
      </c>
      <c r="X20" s="78">
        <v>727644</v>
      </c>
      <c r="Y20" s="78">
        <v>0</v>
      </c>
      <c r="Z20" s="78">
        <v>0</v>
      </c>
      <c r="AA20" s="78">
        <v>26688</v>
      </c>
      <c r="AB20" s="78">
        <v>-4248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-1716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26196</v>
      </c>
      <c r="AT20" s="78">
        <v>34560</v>
      </c>
      <c r="AU20" s="78">
        <v>0</v>
      </c>
      <c r="AV20" s="78">
        <v>1920</v>
      </c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1:70" ht="12.75">
      <c r="A21" s="75">
        <v>153</v>
      </c>
      <c r="B21" s="77" t="s">
        <v>16</v>
      </c>
      <c r="C21" s="78">
        <v>82212</v>
      </c>
      <c r="D21" s="78">
        <v>0</v>
      </c>
      <c r="E21" s="78">
        <v>0</v>
      </c>
      <c r="F21" s="78">
        <v>4032</v>
      </c>
      <c r="G21" s="78">
        <v>0</v>
      </c>
      <c r="H21" s="78">
        <v>-2112</v>
      </c>
      <c r="I21" s="78">
        <v>562944</v>
      </c>
      <c r="J21" s="78">
        <v>12108</v>
      </c>
      <c r="K21" s="78">
        <v>-1188</v>
      </c>
      <c r="L21" s="78">
        <v>47592</v>
      </c>
      <c r="M21" s="78">
        <v>37476</v>
      </c>
      <c r="N21" s="78">
        <v>-15960</v>
      </c>
      <c r="O21" s="78">
        <v>-46332</v>
      </c>
      <c r="P21" s="78">
        <v>216</v>
      </c>
      <c r="Q21" s="78">
        <v>4692</v>
      </c>
      <c r="R21" s="78">
        <v>6288</v>
      </c>
      <c r="S21" s="78">
        <v>6588</v>
      </c>
      <c r="T21" s="78">
        <v>624</v>
      </c>
      <c r="U21" s="78">
        <v>3828</v>
      </c>
      <c r="V21" s="78">
        <v>18012</v>
      </c>
      <c r="W21" s="78">
        <v>6000</v>
      </c>
      <c r="X21" s="78">
        <v>524592</v>
      </c>
      <c r="Y21" s="78">
        <v>0</v>
      </c>
      <c r="Z21" s="78">
        <v>0</v>
      </c>
      <c r="AA21" s="78">
        <v>57708</v>
      </c>
      <c r="AB21" s="78">
        <v>-2652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-1068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32364</v>
      </c>
      <c r="AT21" s="78">
        <v>19044</v>
      </c>
      <c r="AU21" s="78">
        <v>0</v>
      </c>
      <c r="AV21" s="78">
        <v>1392</v>
      </c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ht="12.75">
      <c r="A22" s="75">
        <v>155</v>
      </c>
      <c r="B22" s="77" t="s">
        <v>17</v>
      </c>
      <c r="C22" s="78">
        <v>-200004</v>
      </c>
      <c r="D22" s="78">
        <v>0</v>
      </c>
      <c r="E22" s="78">
        <v>-15624</v>
      </c>
      <c r="F22" s="78">
        <v>1668</v>
      </c>
      <c r="G22" s="78">
        <v>504</v>
      </c>
      <c r="H22" s="78">
        <v>-876</v>
      </c>
      <c r="I22" s="78">
        <v>-82692</v>
      </c>
      <c r="J22" s="78">
        <v>0</v>
      </c>
      <c r="K22" s="78">
        <v>-492</v>
      </c>
      <c r="L22" s="78">
        <v>-3336</v>
      </c>
      <c r="M22" s="78">
        <v>3576</v>
      </c>
      <c r="N22" s="78">
        <v>-6612</v>
      </c>
      <c r="O22" s="78">
        <v>7092</v>
      </c>
      <c r="P22" s="78">
        <v>168</v>
      </c>
      <c r="Q22" s="78">
        <v>2340</v>
      </c>
      <c r="R22" s="78">
        <v>3144</v>
      </c>
      <c r="S22" s="78">
        <v>3288</v>
      </c>
      <c r="T22" s="78">
        <v>312</v>
      </c>
      <c r="U22" s="78">
        <v>1512</v>
      </c>
      <c r="V22" s="78">
        <v>7464</v>
      </c>
      <c r="W22" s="78">
        <v>2484</v>
      </c>
      <c r="X22" s="78">
        <v>217260</v>
      </c>
      <c r="Y22" s="78">
        <v>0</v>
      </c>
      <c r="Z22" s="78">
        <v>0</v>
      </c>
      <c r="AA22" s="78">
        <v>0</v>
      </c>
      <c r="AB22" s="78">
        <v>-1944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-648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3732</v>
      </c>
      <c r="AT22" s="78">
        <v>252</v>
      </c>
      <c r="AU22" s="78">
        <v>0</v>
      </c>
      <c r="AV22" s="78">
        <v>576</v>
      </c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ht="12.75">
      <c r="A23" s="75">
        <v>157</v>
      </c>
      <c r="B23" s="77" t="s">
        <v>18</v>
      </c>
      <c r="C23" s="78">
        <v>-2634384</v>
      </c>
      <c r="D23" s="78">
        <v>0</v>
      </c>
      <c r="E23" s="78">
        <v>-466068</v>
      </c>
      <c r="F23" s="78">
        <v>8568</v>
      </c>
      <c r="G23" s="78">
        <v>164412</v>
      </c>
      <c r="H23" s="78">
        <v>-4500</v>
      </c>
      <c r="I23" s="78">
        <v>-454032</v>
      </c>
      <c r="J23" s="78">
        <v>0</v>
      </c>
      <c r="K23" s="78">
        <v>-2520</v>
      </c>
      <c r="L23" s="78">
        <v>-17568</v>
      </c>
      <c r="M23" s="78">
        <v>34404</v>
      </c>
      <c r="N23" s="78">
        <v>-33924</v>
      </c>
      <c r="O23" s="78">
        <v>-115836</v>
      </c>
      <c r="P23" s="78">
        <v>312</v>
      </c>
      <c r="Q23" s="78">
        <v>10464</v>
      </c>
      <c r="R23" s="78">
        <v>14016</v>
      </c>
      <c r="S23" s="78">
        <v>14676</v>
      </c>
      <c r="T23" s="78">
        <v>1404</v>
      </c>
      <c r="U23" s="78">
        <v>6960</v>
      </c>
      <c r="V23" s="78">
        <v>38292</v>
      </c>
      <c r="W23" s="78">
        <v>12768</v>
      </c>
      <c r="X23" s="78">
        <v>1115316</v>
      </c>
      <c r="Y23" s="78">
        <v>0</v>
      </c>
      <c r="Z23" s="78">
        <v>0</v>
      </c>
      <c r="AA23" s="78">
        <v>0</v>
      </c>
      <c r="AB23" s="78">
        <v>-98892</v>
      </c>
      <c r="AC23" s="78">
        <v>0</v>
      </c>
      <c r="AD23" s="78">
        <v>0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-4716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v>19140</v>
      </c>
      <c r="AT23" s="78">
        <v>0</v>
      </c>
      <c r="AU23" s="78">
        <v>131184</v>
      </c>
      <c r="AV23" s="78">
        <v>2952</v>
      </c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ht="12.75">
      <c r="A24" s="75">
        <v>159</v>
      </c>
      <c r="B24" s="77" t="s">
        <v>19</v>
      </c>
      <c r="C24" s="78">
        <v>-324576</v>
      </c>
      <c r="D24" s="78">
        <v>0</v>
      </c>
      <c r="E24" s="78">
        <v>0</v>
      </c>
      <c r="F24" s="78">
        <v>7992</v>
      </c>
      <c r="G24" s="78">
        <v>0</v>
      </c>
      <c r="H24" s="78">
        <v>-4200</v>
      </c>
      <c r="I24" s="78">
        <v>154020</v>
      </c>
      <c r="J24" s="78">
        <v>3312</v>
      </c>
      <c r="K24" s="78">
        <v>-2352</v>
      </c>
      <c r="L24" s="78">
        <v>-16404</v>
      </c>
      <c r="M24" s="78">
        <v>55524</v>
      </c>
      <c r="N24" s="78">
        <v>-31644</v>
      </c>
      <c r="O24" s="78">
        <v>-173904</v>
      </c>
      <c r="P24" s="78">
        <v>780</v>
      </c>
      <c r="Q24" s="78">
        <v>8136</v>
      </c>
      <c r="R24" s="78">
        <v>10896</v>
      </c>
      <c r="S24" s="78">
        <v>11412</v>
      </c>
      <c r="T24" s="78">
        <v>1092</v>
      </c>
      <c r="U24" s="78">
        <v>7800</v>
      </c>
      <c r="V24" s="78">
        <v>35724</v>
      </c>
      <c r="W24" s="78">
        <v>11904</v>
      </c>
      <c r="X24" s="78">
        <v>1040544</v>
      </c>
      <c r="Y24" s="78">
        <v>0</v>
      </c>
      <c r="Z24" s="78">
        <v>0</v>
      </c>
      <c r="AA24" s="78">
        <v>0</v>
      </c>
      <c r="AB24" s="78">
        <v>-6276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-2532</v>
      </c>
      <c r="AM24" s="78">
        <v>3516</v>
      </c>
      <c r="AN24" s="78">
        <v>7836</v>
      </c>
      <c r="AO24" s="78">
        <v>0</v>
      </c>
      <c r="AP24" s="78">
        <v>0</v>
      </c>
      <c r="AQ24" s="78">
        <v>0</v>
      </c>
      <c r="AR24" s="78">
        <v>0</v>
      </c>
      <c r="AS24" s="78">
        <v>17856</v>
      </c>
      <c r="AT24" s="78">
        <v>0</v>
      </c>
      <c r="AU24" s="78">
        <v>9096</v>
      </c>
      <c r="AV24" s="78">
        <v>2748</v>
      </c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ht="12.75">
      <c r="A25" s="75">
        <v>161</v>
      </c>
      <c r="B25" s="77" t="s">
        <v>20</v>
      </c>
      <c r="C25" s="78">
        <v>-35616</v>
      </c>
      <c r="D25" s="78">
        <v>0</v>
      </c>
      <c r="E25" s="78">
        <v>0</v>
      </c>
      <c r="F25" s="78">
        <v>2676</v>
      </c>
      <c r="G25" s="78">
        <v>0</v>
      </c>
      <c r="H25" s="78">
        <v>-1404</v>
      </c>
      <c r="I25" s="78">
        <v>101088</v>
      </c>
      <c r="J25" s="78">
        <v>2172</v>
      </c>
      <c r="K25" s="78">
        <v>-780</v>
      </c>
      <c r="L25" s="78">
        <v>-5304</v>
      </c>
      <c r="M25" s="78">
        <v>16608</v>
      </c>
      <c r="N25" s="78">
        <v>-10572</v>
      </c>
      <c r="O25" s="78">
        <v>-32040</v>
      </c>
      <c r="P25" s="78">
        <v>-756</v>
      </c>
      <c r="Q25" s="78">
        <v>3024</v>
      </c>
      <c r="R25" s="78">
        <v>4056</v>
      </c>
      <c r="S25" s="78">
        <v>4248</v>
      </c>
      <c r="T25" s="78">
        <v>408</v>
      </c>
      <c r="U25" s="78">
        <v>2568</v>
      </c>
      <c r="V25" s="78">
        <v>11928</v>
      </c>
      <c r="W25" s="78">
        <v>3972</v>
      </c>
      <c r="X25" s="78">
        <v>347592</v>
      </c>
      <c r="Y25" s="78">
        <v>0</v>
      </c>
      <c r="Z25" s="78">
        <v>0</v>
      </c>
      <c r="AA25" s="78">
        <v>12744</v>
      </c>
      <c r="AB25" s="78">
        <v>-1932</v>
      </c>
      <c r="AC25" s="78">
        <v>4056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-780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12516</v>
      </c>
      <c r="AT25" s="78">
        <v>0</v>
      </c>
      <c r="AU25" s="78">
        <v>1908</v>
      </c>
      <c r="AV25" s="78">
        <v>924</v>
      </c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.75">
      <c r="A26" s="75">
        <v>163</v>
      </c>
      <c r="B26" s="77" t="s">
        <v>21</v>
      </c>
      <c r="C26" s="78">
        <v>-32352</v>
      </c>
      <c r="D26" s="78">
        <v>0</v>
      </c>
      <c r="E26" s="78">
        <v>0</v>
      </c>
      <c r="F26" s="78">
        <v>3336</v>
      </c>
      <c r="G26" s="78">
        <v>0</v>
      </c>
      <c r="H26" s="78">
        <v>-1752</v>
      </c>
      <c r="I26" s="78">
        <v>186240</v>
      </c>
      <c r="J26" s="78">
        <v>4008</v>
      </c>
      <c r="K26" s="78">
        <v>-984</v>
      </c>
      <c r="L26" s="78">
        <v>-6780</v>
      </c>
      <c r="M26" s="78">
        <v>19668</v>
      </c>
      <c r="N26" s="78">
        <v>-13224</v>
      </c>
      <c r="O26" s="78">
        <v>-13344</v>
      </c>
      <c r="P26" s="78">
        <v>-1596</v>
      </c>
      <c r="Q26" s="78">
        <v>3900</v>
      </c>
      <c r="R26" s="78">
        <v>5220</v>
      </c>
      <c r="S26" s="78">
        <v>5472</v>
      </c>
      <c r="T26" s="78">
        <v>516</v>
      </c>
      <c r="U26" s="78">
        <v>3276</v>
      </c>
      <c r="V26" s="78">
        <v>14928</v>
      </c>
      <c r="W26" s="78">
        <v>4980</v>
      </c>
      <c r="X26" s="78">
        <v>434820</v>
      </c>
      <c r="Y26" s="78">
        <v>0</v>
      </c>
      <c r="Z26" s="78">
        <v>0</v>
      </c>
      <c r="AA26" s="78">
        <v>31896</v>
      </c>
      <c r="AB26" s="78">
        <v>-2388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-972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15648</v>
      </c>
      <c r="AT26" s="78">
        <v>13704</v>
      </c>
      <c r="AU26" s="78">
        <v>-5064</v>
      </c>
      <c r="AV26" s="78">
        <v>1152</v>
      </c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ht="12.75">
      <c r="A27" s="75">
        <v>165</v>
      </c>
      <c r="B27" s="77" t="s">
        <v>22</v>
      </c>
      <c r="C27" s="78">
        <v>68760</v>
      </c>
      <c r="D27" s="78">
        <v>0</v>
      </c>
      <c r="E27" s="78">
        <v>0</v>
      </c>
      <c r="F27" s="78">
        <v>3180</v>
      </c>
      <c r="G27" s="78">
        <v>0</v>
      </c>
      <c r="H27" s="78">
        <v>-1668</v>
      </c>
      <c r="I27" s="78">
        <v>313632</v>
      </c>
      <c r="J27" s="78">
        <v>6744</v>
      </c>
      <c r="K27" s="78">
        <v>-936</v>
      </c>
      <c r="L27" s="78">
        <v>84192</v>
      </c>
      <c r="M27" s="78">
        <v>26760</v>
      </c>
      <c r="N27" s="78">
        <v>-12576</v>
      </c>
      <c r="O27" s="78">
        <v>-4092</v>
      </c>
      <c r="P27" s="78">
        <v>204</v>
      </c>
      <c r="Q27" s="78">
        <v>3204</v>
      </c>
      <c r="R27" s="78">
        <v>4296</v>
      </c>
      <c r="S27" s="78">
        <v>4500</v>
      </c>
      <c r="T27" s="78">
        <v>432</v>
      </c>
      <c r="U27" s="78">
        <v>2832</v>
      </c>
      <c r="V27" s="78">
        <v>14196</v>
      </c>
      <c r="W27" s="78">
        <v>4728</v>
      </c>
      <c r="X27" s="78">
        <v>413592</v>
      </c>
      <c r="Y27" s="78">
        <v>0</v>
      </c>
      <c r="Z27" s="78">
        <v>0</v>
      </c>
      <c r="AA27" s="78">
        <v>30336</v>
      </c>
      <c r="AB27" s="78">
        <v>-2064</v>
      </c>
      <c r="AC27" s="78">
        <v>0</v>
      </c>
      <c r="AD27" s="78">
        <v>0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-840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25512</v>
      </c>
      <c r="AT27" s="78">
        <v>35868</v>
      </c>
      <c r="AU27" s="78">
        <v>0</v>
      </c>
      <c r="AV27" s="78">
        <v>1092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ht="12.75">
      <c r="A28" s="75">
        <v>167</v>
      </c>
      <c r="B28" s="77" t="s">
        <v>23</v>
      </c>
      <c r="C28" s="78">
        <v>-34176</v>
      </c>
      <c r="D28" s="78">
        <v>0</v>
      </c>
      <c r="E28" s="78">
        <v>0</v>
      </c>
      <c r="F28" s="78">
        <v>6168</v>
      </c>
      <c r="G28" s="78">
        <v>0</v>
      </c>
      <c r="H28" s="78">
        <v>-3240</v>
      </c>
      <c r="I28" s="78">
        <v>218532</v>
      </c>
      <c r="J28" s="78">
        <v>4704</v>
      </c>
      <c r="K28" s="78">
        <v>-1812</v>
      </c>
      <c r="L28" s="78">
        <v>33024</v>
      </c>
      <c r="M28" s="78">
        <v>34488</v>
      </c>
      <c r="N28" s="78">
        <v>-24432</v>
      </c>
      <c r="O28" s="78">
        <v>-2904</v>
      </c>
      <c r="P28" s="78">
        <v>-96</v>
      </c>
      <c r="Q28" s="78">
        <v>6300</v>
      </c>
      <c r="R28" s="78">
        <v>8448</v>
      </c>
      <c r="S28" s="78">
        <v>8844</v>
      </c>
      <c r="T28" s="78">
        <v>840</v>
      </c>
      <c r="U28" s="78">
        <v>6204</v>
      </c>
      <c r="V28" s="78">
        <v>27576</v>
      </c>
      <c r="W28" s="78">
        <v>9192</v>
      </c>
      <c r="X28" s="78">
        <v>803160</v>
      </c>
      <c r="Y28" s="78">
        <v>0</v>
      </c>
      <c r="Z28" s="78">
        <v>0</v>
      </c>
      <c r="AA28" s="78">
        <v>58908</v>
      </c>
      <c r="AB28" s="78">
        <v>-4332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-1776</v>
      </c>
      <c r="AM28" s="78">
        <v>0</v>
      </c>
      <c r="AN28" s="78"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v>28908</v>
      </c>
      <c r="AT28" s="78">
        <v>15552</v>
      </c>
      <c r="AU28" s="78">
        <v>0</v>
      </c>
      <c r="AV28" s="78">
        <v>2124</v>
      </c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ht="12.75">
      <c r="A29" s="75">
        <v>169</v>
      </c>
      <c r="B29" s="77" t="s">
        <v>100</v>
      </c>
      <c r="C29" s="78">
        <v>68796</v>
      </c>
      <c r="D29" s="78">
        <v>0</v>
      </c>
      <c r="E29" s="78">
        <v>0</v>
      </c>
      <c r="F29" s="78">
        <v>5856</v>
      </c>
      <c r="G29" s="78">
        <v>0</v>
      </c>
      <c r="H29" s="78">
        <v>-3072</v>
      </c>
      <c r="I29" s="78">
        <v>287856</v>
      </c>
      <c r="J29" s="78">
        <v>6192</v>
      </c>
      <c r="K29" s="78">
        <v>-1716</v>
      </c>
      <c r="L29" s="78">
        <v>132984</v>
      </c>
      <c r="M29" s="78">
        <v>54252</v>
      </c>
      <c r="N29" s="78">
        <v>-23160</v>
      </c>
      <c r="O29" s="78">
        <v>-50844</v>
      </c>
      <c r="P29" s="78">
        <v>660</v>
      </c>
      <c r="Q29" s="78">
        <v>5784</v>
      </c>
      <c r="R29" s="78">
        <v>7752</v>
      </c>
      <c r="S29" s="78">
        <v>8112</v>
      </c>
      <c r="T29" s="78">
        <v>780</v>
      </c>
      <c r="U29" s="78">
        <v>5448</v>
      </c>
      <c r="V29" s="78">
        <v>26136</v>
      </c>
      <c r="W29" s="78">
        <v>8712</v>
      </c>
      <c r="X29" s="78">
        <v>761496</v>
      </c>
      <c r="Y29" s="78">
        <v>0</v>
      </c>
      <c r="Z29" s="78">
        <v>0</v>
      </c>
      <c r="AA29" s="78">
        <v>55848</v>
      </c>
      <c r="AB29" s="78">
        <v>-3972</v>
      </c>
      <c r="AC29" s="78">
        <v>0</v>
      </c>
      <c r="AD29" s="78">
        <v>5076</v>
      </c>
      <c r="AE29" s="78">
        <v>0</v>
      </c>
      <c r="AF29" s="78"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-1584</v>
      </c>
      <c r="AM29" s="78">
        <v>0</v>
      </c>
      <c r="AN29" s="78">
        <v>0</v>
      </c>
      <c r="AO29" s="78">
        <v>0</v>
      </c>
      <c r="AP29" s="78">
        <v>0</v>
      </c>
      <c r="AQ29" s="78">
        <v>0</v>
      </c>
      <c r="AR29" s="78">
        <v>0</v>
      </c>
      <c r="AS29" s="78">
        <v>27408</v>
      </c>
      <c r="AT29" s="78">
        <v>0</v>
      </c>
      <c r="AU29" s="78">
        <v>0</v>
      </c>
      <c r="AV29" s="78">
        <v>2016</v>
      </c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ht="12.75">
      <c r="A30" s="75">
        <v>173</v>
      </c>
      <c r="B30" s="77" t="s">
        <v>101</v>
      </c>
      <c r="C30" s="78">
        <v>-1001844</v>
      </c>
      <c r="D30" s="78">
        <v>0</v>
      </c>
      <c r="E30" s="78">
        <v>-115068</v>
      </c>
      <c r="F30" s="78">
        <v>6468</v>
      </c>
      <c r="G30" s="78">
        <v>29868</v>
      </c>
      <c r="H30" s="78">
        <v>-3396</v>
      </c>
      <c r="I30" s="78">
        <v>-250656</v>
      </c>
      <c r="J30" s="78">
        <v>0</v>
      </c>
      <c r="K30" s="78">
        <v>-1908</v>
      </c>
      <c r="L30" s="78">
        <v>-13068</v>
      </c>
      <c r="M30" s="78">
        <v>29100</v>
      </c>
      <c r="N30" s="78">
        <v>-25596</v>
      </c>
      <c r="O30" s="78">
        <v>-42864</v>
      </c>
      <c r="P30" s="78">
        <v>-1680</v>
      </c>
      <c r="Q30" s="78">
        <v>7896</v>
      </c>
      <c r="R30" s="78">
        <v>10584</v>
      </c>
      <c r="S30" s="78">
        <v>11088</v>
      </c>
      <c r="T30" s="78">
        <v>1056</v>
      </c>
      <c r="U30" s="78">
        <v>5256</v>
      </c>
      <c r="V30" s="78">
        <v>28884</v>
      </c>
      <c r="W30" s="78">
        <v>9624</v>
      </c>
      <c r="X30" s="78">
        <v>841404</v>
      </c>
      <c r="Y30" s="78">
        <v>0</v>
      </c>
      <c r="Z30" s="78">
        <v>0</v>
      </c>
      <c r="AA30" s="78">
        <v>0</v>
      </c>
      <c r="AB30" s="78">
        <v>-20112</v>
      </c>
      <c r="AC30" s="78">
        <v>0</v>
      </c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-2700</v>
      </c>
      <c r="AM30" s="78">
        <v>0</v>
      </c>
      <c r="AN30" s="78"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v>14448</v>
      </c>
      <c r="AT30" s="78">
        <v>0</v>
      </c>
      <c r="AU30" s="78">
        <v>0</v>
      </c>
      <c r="AV30" s="78">
        <v>2220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75">
      <c r="A31" s="75">
        <v>175</v>
      </c>
      <c r="B31" s="77" t="s">
        <v>24</v>
      </c>
      <c r="C31" s="78">
        <v>25068</v>
      </c>
      <c r="D31" s="78">
        <v>0</v>
      </c>
      <c r="E31" s="78">
        <v>0</v>
      </c>
      <c r="F31" s="78">
        <v>4728</v>
      </c>
      <c r="G31" s="78">
        <v>0</v>
      </c>
      <c r="H31" s="78">
        <v>-2484</v>
      </c>
      <c r="I31" s="78">
        <v>222876</v>
      </c>
      <c r="J31" s="78">
        <v>4788</v>
      </c>
      <c r="K31" s="78">
        <v>-1392</v>
      </c>
      <c r="L31" s="78">
        <v>18264</v>
      </c>
      <c r="M31" s="78">
        <v>28356</v>
      </c>
      <c r="N31" s="78">
        <v>-18744</v>
      </c>
      <c r="O31" s="78">
        <v>14952</v>
      </c>
      <c r="P31" s="78">
        <v>240</v>
      </c>
      <c r="Q31" s="78">
        <v>5220</v>
      </c>
      <c r="R31" s="78">
        <v>6996</v>
      </c>
      <c r="S31" s="78">
        <v>7320</v>
      </c>
      <c r="T31" s="78">
        <v>696</v>
      </c>
      <c r="U31" s="78">
        <v>4860</v>
      </c>
      <c r="V31" s="78">
        <v>21156</v>
      </c>
      <c r="W31" s="78">
        <v>7056</v>
      </c>
      <c r="X31" s="78">
        <v>616104</v>
      </c>
      <c r="Y31" s="78">
        <v>0</v>
      </c>
      <c r="Z31" s="78">
        <v>0</v>
      </c>
      <c r="AA31" s="78">
        <v>45180</v>
      </c>
      <c r="AB31" s="78">
        <v>-3192</v>
      </c>
      <c r="AC31" s="78">
        <v>0</v>
      </c>
      <c r="AD31" s="78">
        <v>0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-1308</v>
      </c>
      <c r="AM31" s="78">
        <v>0</v>
      </c>
      <c r="AN31" s="78">
        <v>0</v>
      </c>
      <c r="AO31" s="78">
        <v>0</v>
      </c>
      <c r="AP31" s="78">
        <v>0</v>
      </c>
      <c r="AQ31" s="78">
        <v>0</v>
      </c>
      <c r="AR31" s="78">
        <v>0</v>
      </c>
      <c r="AS31" s="78">
        <v>22176</v>
      </c>
      <c r="AT31" s="78">
        <v>13332</v>
      </c>
      <c r="AU31" s="78">
        <v>0</v>
      </c>
      <c r="AV31" s="78">
        <v>1632</v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ht="12.75">
      <c r="A32" s="75">
        <v>183</v>
      </c>
      <c r="B32" s="77" t="s">
        <v>25</v>
      </c>
      <c r="C32" s="78">
        <v>122760</v>
      </c>
      <c r="D32" s="78">
        <v>9816</v>
      </c>
      <c r="E32" s="78">
        <v>0</v>
      </c>
      <c r="F32" s="78">
        <v>2664</v>
      </c>
      <c r="G32" s="78">
        <v>0</v>
      </c>
      <c r="H32" s="78">
        <v>-1392</v>
      </c>
      <c r="I32" s="78">
        <v>290880</v>
      </c>
      <c r="J32" s="78">
        <v>6252</v>
      </c>
      <c r="K32" s="78">
        <v>-780</v>
      </c>
      <c r="L32" s="78">
        <v>114948</v>
      </c>
      <c r="M32" s="78">
        <v>28092</v>
      </c>
      <c r="N32" s="78">
        <v>-10524</v>
      </c>
      <c r="O32" s="78">
        <v>7848</v>
      </c>
      <c r="P32" s="78">
        <v>228</v>
      </c>
      <c r="Q32" s="78">
        <v>2292</v>
      </c>
      <c r="R32" s="78">
        <v>3072</v>
      </c>
      <c r="S32" s="78">
        <v>3216</v>
      </c>
      <c r="T32" s="78">
        <v>312</v>
      </c>
      <c r="U32" s="78">
        <v>2712</v>
      </c>
      <c r="V32" s="78">
        <v>11880</v>
      </c>
      <c r="W32" s="78">
        <v>3960</v>
      </c>
      <c r="X32" s="78">
        <v>346020</v>
      </c>
      <c r="Y32" s="78">
        <v>0</v>
      </c>
      <c r="Z32" s="78">
        <v>0</v>
      </c>
      <c r="AA32" s="78">
        <v>38064</v>
      </c>
      <c r="AB32" s="78">
        <v>-1584</v>
      </c>
      <c r="AC32" s="78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-648</v>
      </c>
      <c r="AM32" s="78">
        <v>0</v>
      </c>
      <c r="AN32" s="78"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v>21348</v>
      </c>
      <c r="AT32" s="78">
        <v>0</v>
      </c>
      <c r="AU32" s="78">
        <v>-12528</v>
      </c>
      <c r="AV32" s="78">
        <v>912</v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70" ht="12.75">
      <c r="A33" s="75">
        <v>185</v>
      </c>
      <c r="B33" s="77" t="s">
        <v>26</v>
      </c>
      <c r="C33" s="78">
        <v>-109692</v>
      </c>
      <c r="D33" s="78">
        <v>0</v>
      </c>
      <c r="E33" s="78">
        <v>0</v>
      </c>
      <c r="F33" s="78">
        <v>4944</v>
      </c>
      <c r="G33" s="78">
        <v>0</v>
      </c>
      <c r="H33" s="78">
        <v>-2592</v>
      </c>
      <c r="I33" s="78">
        <v>82308</v>
      </c>
      <c r="J33" s="78">
        <v>1776</v>
      </c>
      <c r="K33" s="78">
        <v>-1452</v>
      </c>
      <c r="L33" s="78">
        <v>840</v>
      </c>
      <c r="M33" s="78">
        <v>18420</v>
      </c>
      <c r="N33" s="78">
        <v>-19560</v>
      </c>
      <c r="O33" s="78">
        <v>-16272</v>
      </c>
      <c r="P33" s="78">
        <v>624</v>
      </c>
      <c r="Q33" s="78">
        <v>5424</v>
      </c>
      <c r="R33" s="78">
        <v>7272</v>
      </c>
      <c r="S33" s="78">
        <v>7608</v>
      </c>
      <c r="T33" s="78">
        <v>732</v>
      </c>
      <c r="U33" s="78">
        <v>4860</v>
      </c>
      <c r="V33" s="78">
        <v>22068</v>
      </c>
      <c r="W33" s="78">
        <v>7356</v>
      </c>
      <c r="X33" s="78">
        <v>642960</v>
      </c>
      <c r="Y33" s="78">
        <v>0</v>
      </c>
      <c r="Z33" s="78">
        <v>0</v>
      </c>
      <c r="AA33" s="78">
        <v>47160</v>
      </c>
      <c r="AB33" s="78">
        <v>-3672</v>
      </c>
      <c r="AC33" s="78">
        <v>10152</v>
      </c>
      <c r="AD33" s="78">
        <v>0</v>
      </c>
      <c r="AE33" s="78">
        <v>0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-1488</v>
      </c>
      <c r="AM33" s="78">
        <v>0</v>
      </c>
      <c r="AN33" s="78"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v>11040</v>
      </c>
      <c r="AT33" s="78">
        <v>19092</v>
      </c>
      <c r="AU33" s="78">
        <v>0</v>
      </c>
      <c r="AV33" s="78">
        <v>1704</v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70" ht="12.75">
      <c r="A34" s="75">
        <v>187</v>
      </c>
      <c r="B34" s="77" t="s">
        <v>27</v>
      </c>
      <c r="C34" s="78">
        <v>-42840</v>
      </c>
      <c r="D34" s="78">
        <v>0</v>
      </c>
      <c r="E34" s="78">
        <v>0</v>
      </c>
      <c r="F34" s="78">
        <v>1932</v>
      </c>
      <c r="G34" s="78">
        <v>0</v>
      </c>
      <c r="H34" s="78">
        <v>-1020</v>
      </c>
      <c r="I34" s="78">
        <v>-53088</v>
      </c>
      <c r="J34" s="78">
        <v>0</v>
      </c>
      <c r="K34" s="78">
        <v>-564</v>
      </c>
      <c r="L34" s="78">
        <v>9024</v>
      </c>
      <c r="M34" s="78">
        <v>16740</v>
      </c>
      <c r="N34" s="78">
        <v>-7668</v>
      </c>
      <c r="O34" s="78">
        <v>7320</v>
      </c>
      <c r="P34" s="78">
        <v>264</v>
      </c>
      <c r="Q34" s="78">
        <v>2028</v>
      </c>
      <c r="R34" s="78">
        <v>2724</v>
      </c>
      <c r="S34" s="78">
        <v>2844</v>
      </c>
      <c r="T34" s="78">
        <v>276</v>
      </c>
      <c r="U34" s="78">
        <v>2076</v>
      </c>
      <c r="V34" s="78">
        <v>8652</v>
      </c>
      <c r="W34" s="78">
        <v>2880</v>
      </c>
      <c r="X34" s="78">
        <v>251952</v>
      </c>
      <c r="Y34" s="78">
        <v>0</v>
      </c>
      <c r="Z34" s="78">
        <v>0</v>
      </c>
      <c r="AA34" s="78">
        <v>0</v>
      </c>
      <c r="AB34" s="78">
        <v>-1404</v>
      </c>
      <c r="AC34" s="78">
        <v>0</v>
      </c>
      <c r="AD34" s="78">
        <v>0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-588</v>
      </c>
      <c r="AM34" s="78">
        <v>0</v>
      </c>
      <c r="AN34" s="78">
        <v>84</v>
      </c>
      <c r="AO34" s="78">
        <v>48</v>
      </c>
      <c r="AP34" s="78">
        <v>0</v>
      </c>
      <c r="AQ34" s="78">
        <v>0</v>
      </c>
      <c r="AR34" s="78">
        <v>0</v>
      </c>
      <c r="AS34" s="78">
        <v>4320</v>
      </c>
      <c r="AT34" s="78">
        <v>0</v>
      </c>
      <c r="AU34" s="78">
        <v>13224</v>
      </c>
      <c r="AV34" s="78">
        <v>660</v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ht="12.75">
      <c r="A35" s="75">
        <v>190</v>
      </c>
      <c r="B35" s="77" t="s">
        <v>102</v>
      </c>
      <c r="C35" s="78">
        <v>-597240</v>
      </c>
      <c r="D35" s="78">
        <v>0</v>
      </c>
      <c r="E35" s="78">
        <v>-51672</v>
      </c>
      <c r="F35" s="78">
        <v>4728</v>
      </c>
      <c r="G35" s="78">
        <v>1644</v>
      </c>
      <c r="H35" s="78">
        <v>-2484</v>
      </c>
      <c r="I35" s="78">
        <v>-98256</v>
      </c>
      <c r="J35" s="78">
        <v>0</v>
      </c>
      <c r="K35" s="78">
        <v>-1392</v>
      </c>
      <c r="L35" s="78">
        <v>-9696</v>
      </c>
      <c r="M35" s="78">
        <v>22332</v>
      </c>
      <c r="N35" s="78">
        <v>-18708</v>
      </c>
      <c r="O35" s="78">
        <v>14232</v>
      </c>
      <c r="P35" s="78">
        <v>576</v>
      </c>
      <c r="Q35" s="78">
        <v>6204</v>
      </c>
      <c r="R35" s="78">
        <v>8316</v>
      </c>
      <c r="S35" s="78">
        <v>8712</v>
      </c>
      <c r="T35" s="78">
        <v>828</v>
      </c>
      <c r="U35" s="78">
        <v>4536</v>
      </c>
      <c r="V35" s="78">
        <v>21120</v>
      </c>
      <c r="W35" s="78">
        <v>7044</v>
      </c>
      <c r="X35" s="78">
        <v>615240</v>
      </c>
      <c r="Y35" s="78">
        <v>0</v>
      </c>
      <c r="Z35" s="78">
        <v>0</v>
      </c>
      <c r="AA35" s="78">
        <v>0</v>
      </c>
      <c r="AB35" s="78">
        <v>-4560</v>
      </c>
      <c r="AC35" s="78">
        <v>0</v>
      </c>
      <c r="AD35" s="78">
        <v>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78132</v>
      </c>
      <c r="AL35" s="78">
        <v>-1860</v>
      </c>
      <c r="AM35" s="78">
        <v>0</v>
      </c>
      <c r="AN35" s="78">
        <v>516</v>
      </c>
      <c r="AO35" s="78">
        <v>0</v>
      </c>
      <c r="AP35" s="78">
        <v>0</v>
      </c>
      <c r="AQ35" s="78">
        <v>0</v>
      </c>
      <c r="AR35" s="78">
        <v>0</v>
      </c>
      <c r="AS35" s="78">
        <v>10560</v>
      </c>
      <c r="AT35" s="78">
        <v>0</v>
      </c>
      <c r="AU35" s="78">
        <v>0</v>
      </c>
      <c r="AV35" s="78">
        <v>1632</v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  <row r="36" spans="1:70" ht="12.75">
      <c r="A36" s="75">
        <v>201</v>
      </c>
      <c r="B36" s="77" t="s">
        <v>28</v>
      </c>
      <c r="C36" s="78">
        <v>-338652</v>
      </c>
      <c r="D36" s="78">
        <v>0</v>
      </c>
      <c r="E36" s="78">
        <v>-23772</v>
      </c>
      <c r="F36" s="78">
        <v>2964</v>
      </c>
      <c r="G36" s="78">
        <v>3216</v>
      </c>
      <c r="H36" s="78">
        <v>-1560</v>
      </c>
      <c r="I36" s="78">
        <v>-202380</v>
      </c>
      <c r="J36" s="78">
        <v>0</v>
      </c>
      <c r="K36" s="78">
        <v>-876</v>
      </c>
      <c r="L36" s="78">
        <v>-6048</v>
      </c>
      <c r="M36" s="78">
        <v>8688</v>
      </c>
      <c r="N36" s="78">
        <v>-11736</v>
      </c>
      <c r="O36" s="78">
        <v>-2640</v>
      </c>
      <c r="P36" s="78">
        <v>228</v>
      </c>
      <c r="Q36" s="78">
        <v>3576</v>
      </c>
      <c r="R36" s="78">
        <v>4800</v>
      </c>
      <c r="S36" s="78">
        <v>5028</v>
      </c>
      <c r="T36" s="78">
        <v>480</v>
      </c>
      <c r="U36" s="78">
        <v>2820</v>
      </c>
      <c r="V36" s="78">
        <v>13248</v>
      </c>
      <c r="W36" s="78">
        <v>4416</v>
      </c>
      <c r="X36" s="78">
        <v>385956</v>
      </c>
      <c r="Y36" s="78">
        <v>0</v>
      </c>
      <c r="Z36" s="78">
        <v>0</v>
      </c>
      <c r="AA36" s="78">
        <v>0</v>
      </c>
      <c r="AB36" s="78">
        <v>-2784</v>
      </c>
      <c r="AC36" s="78">
        <v>0</v>
      </c>
      <c r="AD36" s="78">
        <v>0</v>
      </c>
      <c r="AE36" s="78">
        <v>0</v>
      </c>
      <c r="AF36" s="78"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-1128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78">
        <v>0</v>
      </c>
      <c r="AS36" s="78">
        <v>6624</v>
      </c>
      <c r="AT36" s="78">
        <v>0</v>
      </c>
      <c r="AU36" s="78">
        <v>0</v>
      </c>
      <c r="AV36" s="78">
        <v>1020</v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</row>
    <row r="37" spans="1:70" ht="12.75">
      <c r="A37" s="75">
        <v>210</v>
      </c>
      <c r="B37" s="77" t="s">
        <v>103</v>
      </c>
      <c r="C37" s="78">
        <v>-346944</v>
      </c>
      <c r="D37" s="78">
        <v>0</v>
      </c>
      <c r="E37" s="78">
        <v>0</v>
      </c>
      <c r="F37" s="78">
        <v>4704</v>
      </c>
      <c r="G37" s="78">
        <v>0</v>
      </c>
      <c r="H37" s="78">
        <v>-2472</v>
      </c>
      <c r="I37" s="78">
        <v>-29256</v>
      </c>
      <c r="J37" s="78">
        <v>0</v>
      </c>
      <c r="K37" s="78">
        <v>-1380</v>
      </c>
      <c r="L37" s="78">
        <v>-9600</v>
      </c>
      <c r="M37" s="78">
        <v>23880</v>
      </c>
      <c r="N37" s="78">
        <v>-18648</v>
      </c>
      <c r="O37" s="78">
        <v>-26628</v>
      </c>
      <c r="P37" s="78">
        <v>-264</v>
      </c>
      <c r="Q37" s="78">
        <v>6096</v>
      </c>
      <c r="R37" s="78">
        <v>8172</v>
      </c>
      <c r="S37" s="78">
        <v>8556</v>
      </c>
      <c r="T37" s="78">
        <v>816</v>
      </c>
      <c r="U37" s="78">
        <v>4080</v>
      </c>
      <c r="V37" s="78">
        <v>21048</v>
      </c>
      <c r="W37" s="78">
        <v>7020</v>
      </c>
      <c r="X37" s="78">
        <v>613020</v>
      </c>
      <c r="Y37" s="78">
        <v>0</v>
      </c>
      <c r="Z37" s="78">
        <v>0</v>
      </c>
      <c r="AA37" s="78">
        <v>0</v>
      </c>
      <c r="AB37" s="78">
        <v>-4032</v>
      </c>
      <c r="AC37" s="78">
        <v>0</v>
      </c>
      <c r="AD37" s="78">
        <v>0</v>
      </c>
      <c r="AE37" s="78">
        <v>0</v>
      </c>
      <c r="AF37" s="78"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-1632</v>
      </c>
      <c r="AM37" s="78">
        <v>0</v>
      </c>
      <c r="AN37" s="78">
        <v>0</v>
      </c>
      <c r="AO37" s="78">
        <v>0</v>
      </c>
      <c r="AP37" s="78">
        <v>0</v>
      </c>
      <c r="AQ37" s="78">
        <v>0</v>
      </c>
      <c r="AR37" s="78">
        <v>0</v>
      </c>
      <c r="AS37" s="78">
        <v>10524</v>
      </c>
      <c r="AT37" s="78">
        <v>0</v>
      </c>
      <c r="AU37" s="78">
        <v>0</v>
      </c>
      <c r="AV37" s="78">
        <v>1620</v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</row>
    <row r="38" spans="1:70" ht="12.75">
      <c r="A38" s="75">
        <v>217</v>
      </c>
      <c r="B38" s="77" t="s">
        <v>30</v>
      </c>
      <c r="C38" s="78">
        <v>-378756</v>
      </c>
      <c r="D38" s="78">
        <v>0</v>
      </c>
      <c r="E38" s="78">
        <v>0</v>
      </c>
      <c r="F38" s="78">
        <v>7212</v>
      </c>
      <c r="G38" s="78">
        <v>0</v>
      </c>
      <c r="H38" s="78">
        <v>-3792</v>
      </c>
      <c r="I38" s="78">
        <v>105132</v>
      </c>
      <c r="J38" s="78">
        <v>2256</v>
      </c>
      <c r="K38" s="78">
        <v>-2124</v>
      </c>
      <c r="L38" s="78">
        <v>-14688</v>
      </c>
      <c r="M38" s="78">
        <v>24648</v>
      </c>
      <c r="N38" s="78">
        <v>-28572</v>
      </c>
      <c r="O38" s="78">
        <v>17448</v>
      </c>
      <c r="P38" s="78">
        <v>672</v>
      </c>
      <c r="Q38" s="78">
        <v>10200</v>
      </c>
      <c r="R38" s="78">
        <v>13668</v>
      </c>
      <c r="S38" s="78">
        <v>14304</v>
      </c>
      <c r="T38" s="78">
        <v>1368</v>
      </c>
      <c r="U38" s="78">
        <v>5460</v>
      </c>
      <c r="V38" s="78">
        <v>32244</v>
      </c>
      <c r="W38" s="78">
        <v>10752</v>
      </c>
      <c r="X38" s="78">
        <v>939168</v>
      </c>
      <c r="Y38" s="78">
        <v>0</v>
      </c>
      <c r="Z38" s="78">
        <v>0</v>
      </c>
      <c r="AA38" s="78">
        <v>0</v>
      </c>
      <c r="AB38" s="78">
        <v>-5796</v>
      </c>
      <c r="AC38" s="78">
        <v>10152</v>
      </c>
      <c r="AD38" s="78">
        <v>5076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-2364</v>
      </c>
      <c r="AM38" s="78">
        <v>2484</v>
      </c>
      <c r="AN38" s="78">
        <v>0</v>
      </c>
      <c r="AO38" s="78">
        <v>0</v>
      </c>
      <c r="AP38" s="78">
        <v>0</v>
      </c>
      <c r="AQ38" s="78">
        <v>0</v>
      </c>
      <c r="AR38" s="78">
        <v>0</v>
      </c>
      <c r="AS38" s="78">
        <v>16116</v>
      </c>
      <c r="AT38" s="78">
        <v>34584</v>
      </c>
      <c r="AU38" s="78">
        <v>8724</v>
      </c>
      <c r="AV38" s="78">
        <v>2484</v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</row>
    <row r="39" spans="1:70" ht="12.75">
      <c r="A39" s="75">
        <v>219</v>
      </c>
      <c r="B39" s="77" t="s">
        <v>31</v>
      </c>
      <c r="C39" s="78">
        <v>-310116</v>
      </c>
      <c r="D39" s="78">
        <v>0</v>
      </c>
      <c r="E39" s="78">
        <v>0</v>
      </c>
      <c r="F39" s="78">
        <v>5916</v>
      </c>
      <c r="G39" s="78">
        <v>0</v>
      </c>
      <c r="H39" s="78">
        <v>-3108</v>
      </c>
      <c r="I39" s="78">
        <v>-205332</v>
      </c>
      <c r="J39" s="78">
        <v>0</v>
      </c>
      <c r="K39" s="78">
        <v>-1740</v>
      </c>
      <c r="L39" s="78">
        <v>-12012</v>
      </c>
      <c r="M39" s="78">
        <v>21372</v>
      </c>
      <c r="N39" s="78">
        <v>-23412</v>
      </c>
      <c r="O39" s="78">
        <v>-41388</v>
      </c>
      <c r="P39" s="78">
        <v>-936</v>
      </c>
      <c r="Q39" s="78">
        <v>6492</v>
      </c>
      <c r="R39" s="78">
        <v>8700</v>
      </c>
      <c r="S39" s="78">
        <v>9108</v>
      </c>
      <c r="T39" s="78">
        <v>864</v>
      </c>
      <c r="U39" s="78">
        <v>5124</v>
      </c>
      <c r="V39" s="78">
        <v>26412</v>
      </c>
      <c r="W39" s="78">
        <v>8808</v>
      </c>
      <c r="X39" s="78">
        <v>769536</v>
      </c>
      <c r="Y39" s="78">
        <v>0</v>
      </c>
      <c r="Z39" s="78">
        <v>0</v>
      </c>
      <c r="AA39" s="78">
        <v>0</v>
      </c>
      <c r="AB39" s="78">
        <v>-4752</v>
      </c>
      <c r="AC39" s="78">
        <v>0</v>
      </c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-1932</v>
      </c>
      <c r="AM39" s="78">
        <v>0</v>
      </c>
      <c r="AN39" s="78">
        <v>0</v>
      </c>
      <c r="AO39" s="78">
        <v>0</v>
      </c>
      <c r="AP39" s="78">
        <v>0</v>
      </c>
      <c r="AQ39" s="78">
        <v>0</v>
      </c>
      <c r="AR39" s="78">
        <v>0</v>
      </c>
      <c r="AS39" s="78">
        <v>13212</v>
      </c>
      <c r="AT39" s="78">
        <v>0</v>
      </c>
      <c r="AU39" s="78">
        <v>12720</v>
      </c>
      <c r="AV39" s="78">
        <v>2040</v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</row>
    <row r="40" spans="1:70" ht="12.75">
      <c r="A40" s="75">
        <v>223</v>
      </c>
      <c r="B40" s="77" t="s">
        <v>32</v>
      </c>
      <c r="C40" s="78">
        <v>-742152</v>
      </c>
      <c r="D40" s="78">
        <v>0</v>
      </c>
      <c r="E40" s="78">
        <v>-122892</v>
      </c>
      <c r="F40" s="78">
        <v>2844</v>
      </c>
      <c r="G40" s="78">
        <v>43356</v>
      </c>
      <c r="H40" s="78">
        <v>-1500</v>
      </c>
      <c r="I40" s="78">
        <v>-110232</v>
      </c>
      <c r="J40" s="78">
        <v>0</v>
      </c>
      <c r="K40" s="78">
        <v>-840</v>
      </c>
      <c r="L40" s="78">
        <v>-5844</v>
      </c>
      <c r="M40" s="78">
        <v>8676</v>
      </c>
      <c r="N40" s="78">
        <v>-11280</v>
      </c>
      <c r="O40" s="78">
        <v>1620</v>
      </c>
      <c r="P40" s="78">
        <v>180</v>
      </c>
      <c r="Q40" s="78">
        <v>4944</v>
      </c>
      <c r="R40" s="78">
        <v>6624</v>
      </c>
      <c r="S40" s="78">
        <v>6948</v>
      </c>
      <c r="T40" s="78">
        <v>660</v>
      </c>
      <c r="U40" s="78">
        <v>2112</v>
      </c>
      <c r="V40" s="78">
        <v>12720</v>
      </c>
      <c r="W40" s="78">
        <v>4236</v>
      </c>
      <c r="X40" s="78">
        <v>370656</v>
      </c>
      <c r="Y40" s="78">
        <v>0</v>
      </c>
      <c r="Z40" s="78">
        <v>0</v>
      </c>
      <c r="AA40" s="78">
        <v>0</v>
      </c>
      <c r="AB40" s="78">
        <v>-25920</v>
      </c>
      <c r="AC40" s="78">
        <v>0</v>
      </c>
      <c r="AD40" s="78">
        <v>0</v>
      </c>
      <c r="AE40" s="78">
        <v>0</v>
      </c>
      <c r="AF40" s="78"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-1452</v>
      </c>
      <c r="AM40" s="78">
        <v>0</v>
      </c>
      <c r="AN40" s="78"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v>6360</v>
      </c>
      <c r="AT40" s="78">
        <v>0</v>
      </c>
      <c r="AU40" s="78">
        <v>24636</v>
      </c>
      <c r="AV40" s="78">
        <v>984</v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</row>
    <row r="41" spans="1:70" ht="12.75">
      <c r="A41" s="75">
        <v>230</v>
      </c>
      <c r="B41" s="77" t="s">
        <v>104</v>
      </c>
      <c r="C41" s="78">
        <v>-1707624</v>
      </c>
      <c r="D41" s="78">
        <v>0</v>
      </c>
      <c r="E41" s="78">
        <v>-283440</v>
      </c>
      <c r="F41" s="78">
        <v>6516</v>
      </c>
      <c r="G41" s="78">
        <v>99996</v>
      </c>
      <c r="H41" s="78">
        <v>-3420</v>
      </c>
      <c r="I41" s="78">
        <v>-294408</v>
      </c>
      <c r="J41" s="78">
        <v>0</v>
      </c>
      <c r="K41" s="78">
        <v>-1920</v>
      </c>
      <c r="L41" s="78">
        <v>-13236</v>
      </c>
      <c r="M41" s="78">
        <v>23688</v>
      </c>
      <c r="N41" s="78">
        <v>-25800</v>
      </c>
      <c r="O41" s="78">
        <v>-20736</v>
      </c>
      <c r="P41" s="78">
        <v>672</v>
      </c>
      <c r="Q41" s="78">
        <v>9516</v>
      </c>
      <c r="R41" s="78">
        <v>12744</v>
      </c>
      <c r="S41" s="78">
        <v>13344</v>
      </c>
      <c r="T41" s="78">
        <v>1272</v>
      </c>
      <c r="U41" s="78">
        <v>5712</v>
      </c>
      <c r="V41" s="78">
        <v>29124</v>
      </c>
      <c r="W41" s="78">
        <v>9708</v>
      </c>
      <c r="X41" s="78">
        <v>848232</v>
      </c>
      <c r="Y41" s="78">
        <v>0</v>
      </c>
      <c r="Z41" s="78">
        <v>0</v>
      </c>
      <c r="AA41" s="78">
        <v>0</v>
      </c>
      <c r="AB41" s="78">
        <v>-60132</v>
      </c>
      <c r="AC41" s="78">
        <v>0</v>
      </c>
      <c r="AD41" s="78">
        <v>0</v>
      </c>
      <c r="AE41" s="78">
        <v>0</v>
      </c>
      <c r="AF41" s="78"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-3324</v>
      </c>
      <c r="AM41" s="78">
        <v>0</v>
      </c>
      <c r="AN41" s="78">
        <v>0</v>
      </c>
      <c r="AO41" s="78">
        <v>0</v>
      </c>
      <c r="AP41" s="78">
        <v>0</v>
      </c>
      <c r="AQ41" s="78">
        <v>0</v>
      </c>
      <c r="AR41" s="78">
        <v>0</v>
      </c>
      <c r="AS41" s="78">
        <v>14556</v>
      </c>
      <c r="AT41" s="78">
        <v>0</v>
      </c>
      <c r="AU41" s="78">
        <v>92232</v>
      </c>
      <c r="AV41" s="78">
        <v>2244</v>
      </c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</row>
    <row r="42" spans="1:70" ht="12.75">
      <c r="A42" s="75">
        <v>240</v>
      </c>
      <c r="B42" s="77" t="s">
        <v>105</v>
      </c>
      <c r="C42" s="78">
        <v>-268344</v>
      </c>
      <c r="D42" s="78">
        <v>0</v>
      </c>
      <c r="E42" s="78">
        <v>0</v>
      </c>
      <c r="F42" s="78">
        <v>4992</v>
      </c>
      <c r="G42" s="78">
        <v>0</v>
      </c>
      <c r="H42" s="78">
        <v>-2616</v>
      </c>
      <c r="I42" s="78">
        <v>-317436</v>
      </c>
      <c r="J42" s="78">
        <v>0</v>
      </c>
      <c r="K42" s="78">
        <v>-1464</v>
      </c>
      <c r="L42" s="78">
        <v>-10164</v>
      </c>
      <c r="M42" s="78">
        <v>16476</v>
      </c>
      <c r="N42" s="78">
        <v>-19752</v>
      </c>
      <c r="O42" s="78">
        <v>7128</v>
      </c>
      <c r="P42" s="78">
        <v>444</v>
      </c>
      <c r="Q42" s="78">
        <v>5088</v>
      </c>
      <c r="R42" s="78">
        <v>6816</v>
      </c>
      <c r="S42" s="78">
        <v>7140</v>
      </c>
      <c r="T42" s="78">
        <v>684</v>
      </c>
      <c r="U42" s="78">
        <v>4752</v>
      </c>
      <c r="V42" s="78">
        <v>22296</v>
      </c>
      <c r="W42" s="78">
        <v>7428</v>
      </c>
      <c r="X42" s="78">
        <v>649308</v>
      </c>
      <c r="Y42" s="78">
        <v>0</v>
      </c>
      <c r="Z42" s="78">
        <v>0</v>
      </c>
      <c r="AA42" s="78">
        <v>0</v>
      </c>
      <c r="AB42" s="78">
        <v>-4068</v>
      </c>
      <c r="AC42" s="78">
        <v>0</v>
      </c>
      <c r="AD42" s="78">
        <v>0</v>
      </c>
      <c r="AE42" s="78">
        <v>0</v>
      </c>
      <c r="AF42" s="78"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-1644</v>
      </c>
      <c r="AM42" s="78">
        <v>0</v>
      </c>
      <c r="AN42" s="78">
        <v>0</v>
      </c>
      <c r="AO42" s="78">
        <v>1584</v>
      </c>
      <c r="AP42" s="78">
        <v>0</v>
      </c>
      <c r="AQ42" s="78">
        <v>0</v>
      </c>
      <c r="AR42" s="78">
        <v>0</v>
      </c>
      <c r="AS42" s="78">
        <v>11148</v>
      </c>
      <c r="AT42" s="78">
        <v>4452</v>
      </c>
      <c r="AU42" s="78">
        <v>9888</v>
      </c>
      <c r="AV42" s="78">
        <v>1716</v>
      </c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</row>
    <row r="43" spans="1:70" ht="12.75">
      <c r="A43" s="75">
        <v>250</v>
      </c>
      <c r="B43" s="77" t="s">
        <v>29</v>
      </c>
      <c r="C43" s="78">
        <v>-93792</v>
      </c>
      <c r="D43" s="78">
        <v>0</v>
      </c>
      <c r="E43" s="78">
        <v>0</v>
      </c>
      <c r="F43" s="78">
        <v>5208</v>
      </c>
      <c r="G43" s="78">
        <v>0</v>
      </c>
      <c r="H43" s="78">
        <v>-2736</v>
      </c>
      <c r="I43" s="78">
        <v>-76344</v>
      </c>
      <c r="J43" s="78">
        <v>0</v>
      </c>
      <c r="K43" s="78">
        <v>-1536</v>
      </c>
      <c r="L43" s="78">
        <v>11844</v>
      </c>
      <c r="M43" s="78">
        <v>13464</v>
      </c>
      <c r="N43" s="78">
        <v>-20628</v>
      </c>
      <c r="O43" s="78">
        <v>13296</v>
      </c>
      <c r="P43" s="78">
        <v>96</v>
      </c>
      <c r="Q43" s="78">
        <v>6972</v>
      </c>
      <c r="R43" s="78">
        <v>9348</v>
      </c>
      <c r="S43" s="78">
        <v>9792</v>
      </c>
      <c r="T43" s="78">
        <v>936</v>
      </c>
      <c r="U43" s="78">
        <v>3804</v>
      </c>
      <c r="V43" s="78">
        <v>23292</v>
      </c>
      <c r="W43" s="78">
        <v>7764</v>
      </c>
      <c r="X43" s="78">
        <v>678312</v>
      </c>
      <c r="Y43" s="78">
        <v>0</v>
      </c>
      <c r="Z43" s="78">
        <v>0</v>
      </c>
      <c r="AA43" s="78">
        <v>49752</v>
      </c>
      <c r="AB43" s="78">
        <v>-3828</v>
      </c>
      <c r="AC43" s="78">
        <v>0</v>
      </c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-1548</v>
      </c>
      <c r="AM43" s="78">
        <v>0</v>
      </c>
      <c r="AN43" s="78">
        <v>0</v>
      </c>
      <c r="AO43" s="78">
        <v>0</v>
      </c>
      <c r="AP43" s="78">
        <v>0</v>
      </c>
      <c r="AQ43" s="78">
        <v>0</v>
      </c>
      <c r="AR43" s="78">
        <v>0</v>
      </c>
      <c r="AS43" s="78">
        <v>11640</v>
      </c>
      <c r="AT43" s="78">
        <v>29232</v>
      </c>
      <c r="AU43" s="78">
        <v>0</v>
      </c>
      <c r="AV43" s="78">
        <v>1788</v>
      </c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</row>
    <row r="44" spans="1:70" ht="12.75">
      <c r="A44" s="75">
        <v>253</v>
      </c>
      <c r="B44" s="77" t="s">
        <v>33</v>
      </c>
      <c r="C44" s="78">
        <v>-248484</v>
      </c>
      <c r="D44" s="78">
        <v>0</v>
      </c>
      <c r="E44" s="78">
        <v>0</v>
      </c>
      <c r="F44" s="78">
        <v>5832</v>
      </c>
      <c r="G44" s="78">
        <v>0</v>
      </c>
      <c r="H44" s="78">
        <v>-3060</v>
      </c>
      <c r="I44" s="78">
        <v>-93684</v>
      </c>
      <c r="J44" s="78">
        <v>0</v>
      </c>
      <c r="K44" s="78">
        <v>-1716</v>
      </c>
      <c r="L44" s="78">
        <v>-396</v>
      </c>
      <c r="M44" s="78">
        <v>27480</v>
      </c>
      <c r="N44" s="78">
        <v>-23088</v>
      </c>
      <c r="O44" s="78">
        <v>17028</v>
      </c>
      <c r="P44" s="78">
        <v>756</v>
      </c>
      <c r="Q44" s="78">
        <v>6816</v>
      </c>
      <c r="R44" s="78">
        <v>9144</v>
      </c>
      <c r="S44" s="78">
        <v>9576</v>
      </c>
      <c r="T44" s="78">
        <v>912</v>
      </c>
      <c r="U44" s="78">
        <v>5400</v>
      </c>
      <c r="V44" s="78">
        <v>26052</v>
      </c>
      <c r="W44" s="78">
        <v>8688</v>
      </c>
      <c r="X44" s="78">
        <v>758916</v>
      </c>
      <c r="Y44" s="78">
        <v>0</v>
      </c>
      <c r="Z44" s="78">
        <v>0</v>
      </c>
      <c r="AA44" s="78">
        <v>0</v>
      </c>
      <c r="AB44" s="78">
        <v>-4596</v>
      </c>
      <c r="AC44" s="78">
        <v>0</v>
      </c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-1860</v>
      </c>
      <c r="AM44" s="78">
        <v>0</v>
      </c>
      <c r="AN44" s="78">
        <v>0</v>
      </c>
      <c r="AO44" s="78">
        <v>0</v>
      </c>
      <c r="AP44" s="78">
        <v>0</v>
      </c>
      <c r="AQ44" s="78">
        <v>-1260</v>
      </c>
      <c r="AR44" s="78">
        <v>0</v>
      </c>
      <c r="AS44" s="78">
        <v>13032</v>
      </c>
      <c r="AT44" s="78">
        <v>0</v>
      </c>
      <c r="AU44" s="78">
        <v>42828</v>
      </c>
      <c r="AV44" s="78">
        <v>2004</v>
      </c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ht="12.75">
      <c r="A45" s="75">
        <v>259</v>
      </c>
      <c r="B45" s="77" t="s">
        <v>34</v>
      </c>
      <c r="C45" s="78">
        <v>-31212</v>
      </c>
      <c r="D45" s="78">
        <v>0</v>
      </c>
      <c r="E45" s="78">
        <v>0</v>
      </c>
      <c r="F45" s="78">
        <v>7032</v>
      </c>
      <c r="G45" s="78">
        <v>0</v>
      </c>
      <c r="H45" s="78">
        <v>-3696</v>
      </c>
      <c r="I45" s="78">
        <v>22152</v>
      </c>
      <c r="J45" s="78">
        <v>480</v>
      </c>
      <c r="K45" s="78">
        <v>-2064</v>
      </c>
      <c r="L45" s="78">
        <v>98232</v>
      </c>
      <c r="M45" s="78">
        <v>26556</v>
      </c>
      <c r="N45" s="78">
        <v>-27828</v>
      </c>
      <c r="O45" s="78">
        <v>12804</v>
      </c>
      <c r="P45" s="78">
        <v>528</v>
      </c>
      <c r="Q45" s="78">
        <v>7980</v>
      </c>
      <c r="R45" s="78">
        <v>10692</v>
      </c>
      <c r="S45" s="78">
        <v>11196</v>
      </c>
      <c r="T45" s="78">
        <v>1068</v>
      </c>
      <c r="U45" s="78">
        <v>6120</v>
      </c>
      <c r="V45" s="78">
        <v>31404</v>
      </c>
      <c r="W45" s="78">
        <v>10464</v>
      </c>
      <c r="X45" s="78">
        <v>914748</v>
      </c>
      <c r="Y45" s="78">
        <v>0</v>
      </c>
      <c r="Z45" s="78">
        <v>0</v>
      </c>
      <c r="AA45" s="78">
        <v>67092</v>
      </c>
      <c r="AB45" s="78">
        <v>-4908</v>
      </c>
      <c r="AC45" s="78">
        <v>0</v>
      </c>
      <c r="AD45" s="78">
        <v>5076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-2004</v>
      </c>
      <c r="AM45" s="78">
        <v>0</v>
      </c>
      <c r="AN45" s="78">
        <v>0</v>
      </c>
      <c r="AO45" s="78">
        <v>0</v>
      </c>
      <c r="AP45" s="78">
        <v>0</v>
      </c>
      <c r="AQ45" s="78">
        <v>0</v>
      </c>
      <c r="AR45" s="78">
        <v>0</v>
      </c>
      <c r="AS45" s="78">
        <v>32928</v>
      </c>
      <c r="AT45" s="78">
        <v>38736</v>
      </c>
      <c r="AU45" s="78">
        <v>0</v>
      </c>
      <c r="AV45" s="78">
        <v>2424</v>
      </c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ht="12.75">
      <c r="A46" s="75">
        <v>260</v>
      </c>
      <c r="B46" s="77" t="s">
        <v>147</v>
      </c>
      <c r="C46" s="78">
        <v>4548</v>
      </c>
      <c r="D46" s="78">
        <v>0</v>
      </c>
      <c r="E46" s="78">
        <v>0</v>
      </c>
      <c r="F46" s="78">
        <v>3612</v>
      </c>
      <c r="G46" s="78">
        <v>0</v>
      </c>
      <c r="H46" s="78">
        <v>-1896</v>
      </c>
      <c r="I46" s="78">
        <v>22920</v>
      </c>
      <c r="J46" s="78">
        <v>492</v>
      </c>
      <c r="K46" s="78">
        <v>-1068</v>
      </c>
      <c r="L46" s="78">
        <v>85560</v>
      </c>
      <c r="M46" s="78">
        <v>9996</v>
      </c>
      <c r="N46" s="78">
        <v>-14316</v>
      </c>
      <c r="O46" s="78">
        <v>10392</v>
      </c>
      <c r="P46" s="78">
        <v>396</v>
      </c>
      <c r="Q46" s="78">
        <v>5292</v>
      </c>
      <c r="R46" s="78">
        <v>7092</v>
      </c>
      <c r="S46" s="78">
        <v>7428</v>
      </c>
      <c r="T46" s="78">
        <v>708</v>
      </c>
      <c r="U46" s="78">
        <v>2448</v>
      </c>
      <c r="V46" s="78">
        <v>16164</v>
      </c>
      <c r="W46" s="78">
        <v>5388</v>
      </c>
      <c r="X46" s="78">
        <v>470856</v>
      </c>
      <c r="Y46" s="78">
        <v>0</v>
      </c>
      <c r="Z46" s="78">
        <v>0</v>
      </c>
      <c r="AA46" s="78">
        <v>51804</v>
      </c>
      <c r="AB46" s="78">
        <v>-2508</v>
      </c>
      <c r="AC46" s="78">
        <v>0</v>
      </c>
      <c r="AD46" s="78">
        <v>0</v>
      </c>
      <c r="AE46" s="78">
        <v>0</v>
      </c>
      <c r="AF46" s="78"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-1020</v>
      </c>
      <c r="AM46" s="78">
        <v>0</v>
      </c>
      <c r="AN46" s="78"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v>16944</v>
      </c>
      <c r="AT46" s="78">
        <v>10764</v>
      </c>
      <c r="AU46" s="78">
        <v>0</v>
      </c>
      <c r="AV46" s="78">
        <v>1248</v>
      </c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70" ht="12.75">
      <c r="A47" s="75">
        <v>265</v>
      </c>
      <c r="B47" s="77" t="s">
        <v>36</v>
      </c>
      <c r="C47" s="78">
        <v>-486804</v>
      </c>
      <c r="D47" s="78">
        <v>0</v>
      </c>
      <c r="E47" s="78">
        <v>0</v>
      </c>
      <c r="F47" s="78">
        <v>10140</v>
      </c>
      <c r="G47" s="78">
        <v>0</v>
      </c>
      <c r="H47" s="78">
        <v>-5328</v>
      </c>
      <c r="I47" s="78">
        <v>-320580</v>
      </c>
      <c r="J47" s="78">
        <v>0</v>
      </c>
      <c r="K47" s="78">
        <v>-2988</v>
      </c>
      <c r="L47" s="78">
        <v>-20604</v>
      </c>
      <c r="M47" s="78">
        <v>31464</v>
      </c>
      <c r="N47" s="78">
        <v>-40140</v>
      </c>
      <c r="O47" s="78">
        <v>27672</v>
      </c>
      <c r="P47" s="78">
        <v>-1188</v>
      </c>
      <c r="Q47" s="78">
        <v>11556</v>
      </c>
      <c r="R47" s="78">
        <v>15480</v>
      </c>
      <c r="S47" s="78">
        <v>16224</v>
      </c>
      <c r="T47" s="78">
        <v>1548</v>
      </c>
      <c r="U47" s="78">
        <v>8268</v>
      </c>
      <c r="V47" s="78">
        <v>45300</v>
      </c>
      <c r="W47" s="78">
        <v>15096</v>
      </c>
      <c r="X47" s="78">
        <v>1319640</v>
      </c>
      <c r="Y47" s="78">
        <v>0</v>
      </c>
      <c r="Z47" s="78">
        <v>0</v>
      </c>
      <c r="AA47" s="78">
        <v>0</v>
      </c>
      <c r="AB47" s="78">
        <v>-8124</v>
      </c>
      <c r="AC47" s="78">
        <v>0</v>
      </c>
      <c r="AD47" s="78">
        <v>0</v>
      </c>
      <c r="AE47" s="78">
        <v>0</v>
      </c>
      <c r="AF47" s="78"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-3288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v>22656</v>
      </c>
      <c r="AT47" s="78">
        <v>15588</v>
      </c>
      <c r="AU47" s="78">
        <v>0</v>
      </c>
      <c r="AV47" s="78">
        <v>3492</v>
      </c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ht="12.75">
      <c r="A48" s="75">
        <v>269</v>
      </c>
      <c r="B48" s="77" t="s">
        <v>37</v>
      </c>
      <c r="C48" s="78">
        <v>-147120</v>
      </c>
      <c r="D48" s="78">
        <v>0</v>
      </c>
      <c r="E48" s="78">
        <v>0</v>
      </c>
      <c r="F48" s="78">
        <v>2700</v>
      </c>
      <c r="G48" s="78">
        <v>0</v>
      </c>
      <c r="H48" s="78">
        <v>-1416</v>
      </c>
      <c r="I48" s="78">
        <v>-141876</v>
      </c>
      <c r="J48" s="78">
        <v>0</v>
      </c>
      <c r="K48" s="78">
        <v>-792</v>
      </c>
      <c r="L48" s="78">
        <v>-5460</v>
      </c>
      <c r="M48" s="78">
        <v>7740</v>
      </c>
      <c r="N48" s="78">
        <v>-10704</v>
      </c>
      <c r="O48" s="78">
        <v>10908</v>
      </c>
      <c r="P48" s="78">
        <v>360</v>
      </c>
      <c r="Q48" s="78">
        <v>2892</v>
      </c>
      <c r="R48" s="78">
        <v>3876</v>
      </c>
      <c r="S48" s="78">
        <v>4056</v>
      </c>
      <c r="T48" s="78">
        <v>384</v>
      </c>
      <c r="U48" s="78">
        <v>2772</v>
      </c>
      <c r="V48" s="78">
        <v>12072</v>
      </c>
      <c r="W48" s="78">
        <v>4020</v>
      </c>
      <c r="X48" s="78">
        <v>351720</v>
      </c>
      <c r="Y48" s="78">
        <v>0</v>
      </c>
      <c r="Z48" s="78">
        <v>0</v>
      </c>
      <c r="AA48" s="78">
        <v>0</v>
      </c>
      <c r="AB48" s="78">
        <v>-2184</v>
      </c>
      <c r="AC48" s="78">
        <v>0</v>
      </c>
      <c r="AD48" s="78">
        <v>0</v>
      </c>
      <c r="AE48" s="78">
        <v>0</v>
      </c>
      <c r="AF48" s="78"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-888</v>
      </c>
      <c r="AM48" s="78">
        <v>0</v>
      </c>
      <c r="AN48" s="78"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v>6036</v>
      </c>
      <c r="AT48" s="78">
        <v>2472</v>
      </c>
      <c r="AU48" s="78">
        <v>16056</v>
      </c>
      <c r="AV48" s="78">
        <v>924</v>
      </c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1:70" ht="12.75">
      <c r="A49" s="75">
        <v>270</v>
      </c>
      <c r="B49" s="77" t="s">
        <v>106</v>
      </c>
      <c r="C49" s="78">
        <v>-265428</v>
      </c>
      <c r="D49" s="78">
        <v>0</v>
      </c>
      <c r="E49" s="78">
        <v>0</v>
      </c>
      <c r="F49" s="78">
        <v>4716</v>
      </c>
      <c r="G49" s="78">
        <v>0</v>
      </c>
      <c r="H49" s="78">
        <v>-2484</v>
      </c>
      <c r="I49" s="78">
        <v>-84252</v>
      </c>
      <c r="J49" s="78">
        <v>0</v>
      </c>
      <c r="K49" s="78">
        <v>-1392</v>
      </c>
      <c r="L49" s="78">
        <v>-9648</v>
      </c>
      <c r="M49" s="78">
        <v>11688</v>
      </c>
      <c r="N49" s="78">
        <v>-18672</v>
      </c>
      <c r="O49" s="78">
        <v>19968</v>
      </c>
      <c r="P49" s="78">
        <v>60</v>
      </c>
      <c r="Q49" s="78">
        <v>7104</v>
      </c>
      <c r="R49" s="78">
        <v>9528</v>
      </c>
      <c r="S49" s="78">
        <v>9984</v>
      </c>
      <c r="T49" s="78">
        <v>948</v>
      </c>
      <c r="U49" s="78">
        <v>2952</v>
      </c>
      <c r="V49" s="78">
        <v>21072</v>
      </c>
      <c r="W49" s="78">
        <v>7020</v>
      </c>
      <c r="X49" s="78">
        <v>613908</v>
      </c>
      <c r="Y49" s="78">
        <v>0</v>
      </c>
      <c r="Z49" s="78">
        <v>0</v>
      </c>
      <c r="AA49" s="78">
        <v>0</v>
      </c>
      <c r="AB49" s="78">
        <v>-3852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-1560</v>
      </c>
      <c r="AM49" s="78">
        <v>0</v>
      </c>
      <c r="AN49" s="78">
        <v>0</v>
      </c>
      <c r="AO49" s="78">
        <v>0</v>
      </c>
      <c r="AP49" s="78">
        <v>-11112</v>
      </c>
      <c r="AQ49" s="78">
        <v>0</v>
      </c>
      <c r="AR49" s="78">
        <v>0</v>
      </c>
      <c r="AS49" s="78">
        <v>10536</v>
      </c>
      <c r="AT49" s="78">
        <v>9732</v>
      </c>
      <c r="AU49" s="78">
        <v>0</v>
      </c>
      <c r="AV49" s="78">
        <v>1620</v>
      </c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1:70" ht="12.75">
      <c r="A50" s="75">
        <v>306</v>
      </c>
      <c r="B50" s="77" t="s">
        <v>107</v>
      </c>
      <c r="C50" s="78">
        <v>1800</v>
      </c>
      <c r="D50" s="78">
        <v>0</v>
      </c>
      <c r="E50" s="78">
        <v>0</v>
      </c>
      <c r="F50" s="78">
        <v>3780</v>
      </c>
      <c r="G50" s="78">
        <v>0</v>
      </c>
      <c r="H50" s="78">
        <v>-1992</v>
      </c>
      <c r="I50" s="78">
        <v>163536</v>
      </c>
      <c r="J50" s="78">
        <v>3516</v>
      </c>
      <c r="K50" s="78">
        <v>-1116</v>
      </c>
      <c r="L50" s="78">
        <v>-7764</v>
      </c>
      <c r="M50" s="78">
        <v>9300</v>
      </c>
      <c r="N50" s="78">
        <v>-14988</v>
      </c>
      <c r="O50" s="78">
        <v>17688</v>
      </c>
      <c r="P50" s="78">
        <v>408</v>
      </c>
      <c r="Q50" s="78">
        <v>6516</v>
      </c>
      <c r="R50" s="78">
        <v>8736</v>
      </c>
      <c r="S50" s="78">
        <v>9156</v>
      </c>
      <c r="T50" s="78">
        <v>876</v>
      </c>
      <c r="U50" s="78">
        <v>2196</v>
      </c>
      <c r="V50" s="78">
        <v>16920</v>
      </c>
      <c r="W50" s="78">
        <v>5640</v>
      </c>
      <c r="X50" s="78">
        <v>492816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78">
        <v>0</v>
      </c>
      <c r="AE50" s="78">
        <v>0</v>
      </c>
      <c r="AF50" s="78"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v>0</v>
      </c>
      <c r="AN50" s="78">
        <v>0</v>
      </c>
      <c r="AO50" s="78">
        <v>0</v>
      </c>
      <c r="AP50" s="78">
        <v>0</v>
      </c>
      <c r="AQ50" s="78">
        <v>0</v>
      </c>
      <c r="AR50" s="78">
        <v>0</v>
      </c>
      <c r="AS50" s="78">
        <v>17736</v>
      </c>
      <c r="AT50" s="78">
        <v>22116</v>
      </c>
      <c r="AU50" s="78">
        <v>-52464</v>
      </c>
      <c r="AV50" s="78">
        <v>1308</v>
      </c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1:70" ht="12.75">
      <c r="A51" s="75">
        <v>316</v>
      </c>
      <c r="B51" s="77" t="s">
        <v>38</v>
      </c>
      <c r="C51" s="78">
        <v>141576</v>
      </c>
      <c r="D51" s="78">
        <v>0</v>
      </c>
      <c r="E51" s="78">
        <v>0</v>
      </c>
      <c r="F51" s="78">
        <v>8244</v>
      </c>
      <c r="G51" s="78">
        <v>0</v>
      </c>
      <c r="H51" s="78">
        <v>-4332</v>
      </c>
      <c r="I51" s="78">
        <v>130224</v>
      </c>
      <c r="J51" s="78">
        <v>2796</v>
      </c>
      <c r="K51" s="78">
        <v>-2424</v>
      </c>
      <c r="L51" s="78">
        <v>-16776</v>
      </c>
      <c r="M51" s="78">
        <v>27756</v>
      </c>
      <c r="N51" s="78">
        <v>-32664</v>
      </c>
      <c r="O51" s="78">
        <v>32796</v>
      </c>
      <c r="P51" s="78">
        <v>1104</v>
      </c>
      <c r="Q51" s="78">
        <v>9852</v>
      </c>
      <c r="R51" s="78">
        <v>13200</v>
      </c>
      <c r="S51" s="78">
        <v>13824</v>
      </c>
      <c r="T51" s="78">
        <v>1320</v>
      </c>
      <c r="U51" s="78">
        <v>6540</v>
      </c>
      <c r="V51" s="78">
        <v>36864</v>
      </c>
      <c r="W51" s="78">
        <v>12288</v>
      </c>
      <c r="X51" s="78">
        <v>1073784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9384</v>
      </c>
      <c r="AF51" s="78">
        <v>0</v>
      </c>
      <c r="AG51" s="78">
        <v>996</v>
      </c>
      <c r="AH51" s="78">
        <v>6420</v>
      </c>
      <c r="AI51" s="78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38652</v>
      </c>
      <c r="AT51" s="78">
        <v>35676</v>
      </c>
      <c r="AU51" s="78">
        <v>-40704</v>
      </c>
      <c r="AV51" s="78">
        <v>2844</v>
      </c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1:70" ht="12.75">
      <c r="A52" s="75">
        <v>320</v>
      </c>
      <c r="B52" s="77" t="s">
        <v>108</v>
      </c>
      <c r="C52" s="78">
        <v>126396</v>
      </c>
      <c r="D52" s="78">
        <v>0</v>
      </c>
      <c r="E52" s="78">
        <v>0</v>
      </c>
      <c r="F52" s="78">
        <v>4224</v>
      </c>
      <c r="G52" s="78">
        <v>0</v>
      </c>
      <c r="H52" s="78">
        <v>-2220</v>
      </c>
      <c r="I52" s="78">
        <v>7416</v>
      </c>
      <c r="J52" s="78">
        <v>156</v>
      </c>
      <c r="K52" s="78">
        <v>-1248</v>
      </c>
      <c r="L52" s="78">
        <v>-8604</v>
      </c>
      <c r="M52" s="78">
        <v>10512</v>
      </c>
      <c r="N52" s="78">
        <v>-16728</v>
      </c>
      <c r="O52" s="78">
        <v>10632</v>
      </c>
      <c r="P52" s="78">
        <v>564</v>
      </c>
      <c r="Q52" s="78">
        <v>5316</v>
      </c>
      <c r="R52" s="78">
        <v>7128</v>
      </c>
      <c r="S52" s="78">
        <v>7464</v>
      </c>
      <c r="T52" s="78">
        <v>708</v>
      </c>
      <c r="U52" s="78">
        <v>3216</v>
      </c>
      <c r="V52" s="78">
        <v>18888</v>
      </c>
      <c r="W52" s="78">
        <v>6300</v>
      </c>
      <c r="X52" s="78">
        <v>550056</v>
      </c>
      <c r="Y52" s="78">
        <v>15972</v>
      </c>
      <c r="Z52" s="78">
        <v>0</v>
      </c>
      <c r="AA52" s="78">
        <v>0</v>
      </c>
      <c r="AB52" s="78">
        <v>0</v>
      </c>
      <c r="AC52" s="78">
        <v>0</v>
      </c>
      <c r="AD52" s="78">
        <v>0</v>
      </c>
      <c r="AE52" s="78">
        <v>0</v>
      </c>
      <c r="AF52" s="78">
        <v>0</v>
      </c>
      <c r="AG52" s="78">
        <v>0</v>
      </c>
      <c r="AH52" s="78">
        <v>0</v>
      </c>
      <c r="AI52" s="78">
        <v>0</v>
      </c>
      <c r="AJ52" s="78">
        <v>13716</v>
      </c>
      <c r="AK52" s="78">
        <v>0</v>
      </c>
      <c r="AL52" s="78">
        <v>0</v>
      </c>
      <c r="AM52" s="78">
        <v>0</v>
      </c>
      <c r="AN52" s="78">
        <v>2880</v>
      </c>
      <c r="AO52" s="78">
        <v>0</v>
      </c>
      <c r="AP52" s="78">
        <v>0</v>
      </c>
      <c r="AQ52" s="78">
        <v>0</v>
      </c>
      <c r="AR52" s="78">
        <v>0</v>
      </c>
      <c r="AS52" s="78">
        <v>33936</v>
      </c>
      <c r="AT52" s="78">
        <v>10968</v>
      </c>
      <c r="AU52" s="78">
        <v>-7428</v>
      </c>
      <c r="AV52" s="78">
        <v>1452</v>
      </c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1:70" ht="12.75">
      <c r="A53" s="75">
        <v>326</v>
      </c>
      <c r="B53" s="77" t="s">
        <v>39</v>
      </c>
      <c r="C53" s="78">
        <v>100008</v>
      </c>
      <c r="D53" s="78">
        <v>0</v>
      </c>
      <c r="E53" s="78">
        <v>0</v>
      </c>
      <c r="F53" s="78">
        <v>5556</v>
      </c>
      <c r="G53" s="78">
        <v>0</v>
      </c>
      <c r="H53" s="78">
        <v>-2916</v>
      </c>
      <c r="I53" s="78">
        <v>288432</v>
      </c>
      <c r="J53" s="78">
        <v>6204</v>
      </c>
      <c r="K53" s="78">
        <v>-1632</v>
      </c>
      <c r="L53" s="78">
        <v>-11388</v>
      </c>
      <c r="M53" s="78">
        <v>17748</v>
      </c>
      <c r="N53" s="78">
        <v>-21996</v>
      </c>
      <c r="O53" s="78">
        <v>-55032</v>
      </c>
      <c r="P53" s="78">
        <v>708</v>
      </c>
      <c r="Q53" s="78">
        <v>7644</v>
      </c>
      <c r="R53" s="78">
        <v>10248</v>
      </c>
      <c r="S53" s="78">
        <v>10728</v>
      </c>
      <c r="T53" s="78">
        <v>1020</v>
      </c>
      <c r="U53" s="78">
        <v>4032</v>
      </c>
      <c r="V53" s="78">
        <v>24828</v>
      </c>
      <c r="W53" s="78">
        <v>8280</v>
      </c>
      <c r="X53" s="78">
        <v>723060</v>
      </c>
      <c r="Y53" s="78">
        <v>41988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11916</v>
      </c>
      <c r="AF53" s="78">
        <v>0</v>
      </c>
      <c r="AG53" s="78">
        <v>1812</v>
      </c>
      <c r="AH53" s="78">
        <v>1200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8844</v>
      </c>
      <c r="AO53" s="78">
        <v>0</v>
      </c>
      <c r="AP53" s="78">
        <v>0</v>
      </c>
      <c r="AQ53" s="78">
        <v>0</v>
      </c>
      <c r="AR53" s="78">
        <v>0</v>
      </c>
      <c r="AS53" s="78">
        <v>26028</v>
      </c>
      <c r="AT53" s="78">
        <v>36492</v>
      </c>
      <c r="AU53" s="78">
        <v>-67104</v>
      </c>
      <c r="AV53" s="78">
        <v>1908</v>
      </c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1:70" ht="12.75">
      <c r="A54" s="75">
        <v>329</v>
      </c>
      <c r="B54" s="77" t="s">
        <v>40</v>
      </c>
      <c r="C54" s="78">
        <v>91800</v>
      </c>
      <c r="D54" s="78">
        <v>0</v>
      </c>
      <c r="E54" s="78">
        <v>0</v>
      </c>
      <c r="F54" s="78">
        <v>4020</v>
      </c>
      <c r="G54" s="78">
        <v>0</v>
      </c>
      <c r="H54" s="78">
        <v>-2112</v>
      </c>
      <c r="I54" s="78">
        <v>46104</v>
      </c>
      <c r="J54" s="78">
        <v>996</v>
      </c>
      <c r="K54" s="78">
        <v>-1188</v>
      </c>
      <c r="L54" s="78">
        <v>-8172</v>
      </c>
      <c r="M54" s="78">
        <v>15084</v>
      </c>
      <c r="N54" s="78">
        <v>-15924</v>
      </c>
      <c r="O54" s="78">
        <v>14016</v>
      </c>
      <c r="P54" s="78">
        <v>372</v>
      </c>
      <c r="Q54" s="78">
        <v>4188</v>
      </c>
      <c r="R54" s="78">
        <v>5616</v>
      </c>
      <c r="S54" s="78">
        <v>5880</v>
      </c>
      <c r="T54" s="78">
        <v>564</v>
      </c>
      <c r="U54" s="78">
        <v>3444</v>
      </c>
      <c r="V54" s="78">
        <v>17964</v>
      </c>
      <c r="W54" s="78">
        <v>5988</v>
      </c>
      <c r="X54" s="78">
        <v>523380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78">
        <v>0</v>
      </c>
      <c r="AE54" s="78">
        <v>0</v>
      </c>
      <c r="AF54" s="78">
        <v>0</v>
      </c>
      <c r="AG54" s="78"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1692</v>
      </c>
      <c r="AO54" s="78">
        <v>1692</v>
      </c>
      <c r="AP54" s="78">
        <v>0</v>
      </c>
      <c r="AQ54" s="78">
        <v>0</v>
      </c>
      <c r="AR54" s="78">
        <v>0</v>
      </c>
      <c r="AS54" s="78">
        <v>32292</v>
      </c>
      <c r="AT54" s="78">
        <v>84</v>
      </c>
      <c r="AU54" s="78">
        <v>-11640</v>
      </c>
      <c r="AV54" s="78">
        <v>1380</v>
      </c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1:70" ht="12.75">
      <c r="A55" s="75">
        <v>330</v>
      </c>
      <c r="B55" s="77" t="s">
        <v>41</v>
      </c>
      <c r="C55" s="78">
        <v>338028</v>
      </c>
      <c r="D55" s="78">
        <v>11700</v>
      </c>
      <c r="E55" s="78">
        <v>0</v>
      </c>
      <c r="F55" s="78">
        <v>9096</v>
      </c>
      <c r="G55" s="78">
        <v>0</v>
      </c>
      <c r="H55" s="78">
        <v>-4776</v>
      </c>
      <c r="I55" s="78">
        <v>428988</v>
      </c>
      <c r="J55" s="78">
        <v>9228</v>
      </c>
      <c r="K55" s="78">
        <v>-2676</v>
      </c>
      <c r="L55" s="78">
        <v>-18588</v>
      </c>
      <c r="M55" s="78">
        <v>38184</v>
      </c>
      <c r="N55" s="78">
        <v>-36024</v>
      </c>
      <c r="O55" s="78">
        <v>37812</v>
      </c>
      <c r="P55" s="78">
        <v>156</v>
      </c>
      <c r="Q55" s="78">
        <v>11388</v>
      </c>
      <c r="R55" s="78">
        <v>15252</v>
      </c>
      <c r="S55" s="78">
        <v>15984</v>
      </c>
      <c r="T55" s="78">
        <v>1524</v>
      </c>
      <c r="U55" s="78">
        <v>7248</v>
      </c>
      <c r="V55" s="78">
        <v>40668</v>
      </c>
      <c r="W55" s="78">
        <v>13560</v>
      </c>
      <c r="X55" s="78">
        <v>1184448</v>
      </c>
      <c r="Y55" s="78">
        <v>0</v>
      </c>
      <c r="Z55" s="78">
        <v>0</v>
      </c>
      <c r="AA55" s="78">
        <v>0</v>
      </c>
      <c r="AB55" s="78">
        <v>0</v>
      </c>
      <c r="AC55" s="78">
        <v>0</v>
      </c>
      <c r="AD55" s="78">
        <v>10152</v>
      </c>
      <c r="AE55" s="78">
        <v>12252</v>
      </c>
      <c r="AF55" s="78">
        <v>0</v>
      </c>
      <c r="AG55" s="78">
        <v>1212</v>
      </c>
      <c r="AH55" s="78">
        <v>1368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78">
        <v>0</v>
      </c>
      <c r="AS55" s="78">
        <v>73080</v>
      </c>
      <c r="AT55" s="78">
        <v>49260</v>
      </c>
      <c r="AU55" s="78">
        <v>0</v>
      </c>
      <c r="AV55" s="78">
        <v>3132</v>
      </c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1:70" ht="12.75">
      <c r="A56" s="75">
        <v>336</v>
      </c>
      <c r="B56" s="77" t="s">
        <v>44</v>
      </c>
      <c r="C56" s="78">
        <v>4992</v>
      </c>
      <c r="D56" s="78">
        <v>0</v>
      </c>
      <c r="E56" s="78">
        <v>0</v>
      </c>
      <c r="F56" s="78">
        <v>2628</v>
      </c>
      <c r="G56" s="78">
        <v>0</v>
      </c>
      <c r="H56" s="78">
        <v>-1380</v>
      </c>
      <c r="I56" s="78">
        <v>-19188</v>
      </c>
      <c r="J56" s="78">
        <v>0</v>
      </c>
      <c r="K56" s="78">
        <v>-780</v>
      </c>
      <c r="L56" s="78">
        <v>12936</v>
      </c>
      <c r="M56" s="78">
        <v>5880</v>
      </c>
      <c r="N56" s="78">
        <v>-10416</v>
      </c>
      <c r="O56" s="78">
        <v>12156</v>
      </c>
      <c r="P56" s="78">
        <v>348</v>
      </c>
      <c r="Q56" s="78">
        <v>3696</v>
      </c>
      <c r="R56" s="78">
        <v>4944</v>
      </c>
      <c r="S56" s="78">
        <v>5184</v>
      </c>
      <c r="T56" s="78">
        <v>492</v>
      </c>
      <c r="U56" s="78">
        <v>1932</v>
      </c>
      <c r="V56" s="78">
        <v>11760</v>
      </c>
      <c r="W56" s="78">
        <v>3924</v>
      </c>
      <c r="X56" s="78">
        <v>342600</v>
      </c>
      <c r="Y56" s="78">
        <v>0</v>
      </c>
      <c r="Z56" s="78">
        <v>0</v>
      </c>
      <c r="AA56" s="78">
        <v>25128</v>
      </c>
      <c r="AB56" s="78">
        <v>-1788</v>
      </c>
      <c r="AC56" s="78">
        <v>0</v>
      </c>
      <c r="AD56" s="78">
        <v>0</v>
      </c>
      <c r="AE56" s="78">
        <v>0</v>
      </c>
      <c r="AF56" s="78">
        <v>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-744</v>
      </c>
      <c r="AM56" s="78">
        <v>0</v>
      </c>
      <c r="AN56" s="78">
        <v>0</v>
      </c>
      <c r="AO56" s="78">
        <v>0</v>
      </c>
      <c r="AP56" s="78">
        <v>0</v>
      </c>
      <c r="AQ56" s="78">
        <v>0</v>
      </c>
      <c r="AR56" s="78">
        <v>0</v>
      </c>
      <c r="AS56" s="78">
        <v>5880</v>
      </c>
      <c r="AT56" s="78">
        <v>9972</v>
      </c>
      <c r="AU56" s="78">
        <v>0</v>
      </c>
      <c r="AV56" s="78">
        <v>900</v>
      </c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70" ht="12.75">
      <c r="A57" s="75">
        <v>340</v>
      </c>
      <c r="B57" s="77" t="s">
        <v>42</v>
      </c>
      <c r="C57" s="78">
        <v>75000</v>
      </c>
      <c r="D57" s="78">
        <v>0</v>
      </c>
      <c r="E57" s="78">
        <v>0</v>
      </c>
      <c r="F57" s="78">
        <v>3432</v>
      </c>
      <c r="G57" s="78">
        <v>0</v>
      </c>
      <c r="H57" s="78">
        <v>-1812</v>
      </c>
      <c r="I57" s="78">
        <v>44076</v>
      </c>
      <c r="J57" s="78">
        <v>948</v>
      </c>
      <c r="K57" s="78">
        <v>-1008</v>
      </c>
      <c r="L57" s="78">
        <v>-6996</v>
      </c>
      <c r="M57" s="78">
        <v>8196</v>
      </c>
      <c r="N57" s="78">
        <v>-13608</v>
      </c>
      <c r="O57" s="78">
        <v>14976</v>
      </c>
      <c r="P57" s="78">
        <v>396</v>
      </c>
      <c r="Q57" s="78">
        <v>4188</v>
      </c>
      <c r="R57" s="78">
        <v>5604</v>
      </c>
      <c r="S57" s="78">
        <v>5868</v>
      </c>
      <c r="T57" s="78">
        <v>564</v>
      </c>
      <c r="U57" s="78">
        <v>2712</v>
      </c>
      <c r="V57" s="78">
        <v>15360</v>
      </c>
      <c r="W57" s="78">
        <v>5124</v>
      </c>
      <c r="X57" s="78">
        <v>447420</v>
      </c>
      <c r="Y57" s="78">
        <v>12996</v>
      </c>
      <c r="Z57" s="78">
        <v>0</v>
      </c>
      <c r="AA57" s="78">
        <v>0</v>
      </c>
      <c r="AB57" s="78">
        <v>0</v>
      </c>
      <c r="AC57" s="78">
        <v>0</v>
      </c>
      <c r="AD57" s="78">
        <v>0</v>
      </c>
      <c r="AE57" s="78">
        <v>0</v>
      </c>
      <c r="AF57" s="78">
        <v>0</v>
      </c>
      <c r="AG57" s="78"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8">
        <v>0</v>
      </c>
      <c r="AN57" s="78">
        <v>0</v>
      </c>
      <c r="AO57" s="78">
        <v>0</v>
      </c>
      <c r="AP57" s="78">
        <v>0</v>
      </c>
      <c r="AQ57" s="78">
        <v>0</v>
      </c>
      <c r="AR57" s="78">
        <v>0</v>
      </c>
      <c r="AS57" s="78">
        <v>16104</v>
      </c>
      <c r="AT57" s="78">
        <v>11904</v>
      </c>
      <c r="AU57" s="78">
        <v>-28824</v>
      </c>
      <c r="AV57" s="78">
        <v>1188</v>
      </c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</row>
    <row r="58" spans="1:70" ht="12.75">
      <c r="A58" s="75">
        <v>350</v>
      </c>
      <c r="B58" s="77" t="s">
        <v>35</v>
      </c>
      <c r="C58" s="78">
        <v>-77796</v>
      </c>
      <c r="D58" s="78">
        <v>0</v>
      </c>
      <c r="E58" s="78">
        <v>0</v>
      </c>
      <c r="F58" s="78">
        <v>3228</v>
      </c>
      <c r="G58" s="78">
        <v>0</v>
      </c>
      <c r="H58" s="78">
        <v>-1692</v>
      </c>
      <c r="I58" s="78">
        <v>-138720</v>
      </c>
      <c r="J58" s="78">
        <v>0</v>
      </c>
      <c r="K58" s="78">
        <v>-948</v>
      </c>
      <c r="L58" s="78">
        <v>-6516</v>
      </c>
      <c r="M58" s="78">
        <v>8016</v>
      </c>
      <c r="N58" s="78">
        <v>-12780</v>
      </c>
      <c r="O58" s="78">
        <v>6108</v>
      </c>
      <c r="P58" s="78">
        <v>300</v>
      </c>
      <c r="Q58" s="78">
        <v>3960</v>
      </c>
      <c r="R58" s="78">
        <v>5304</v>
      </c>
      <c r="S58" s="78">
        <v>5556</v>
      </c>
      <c r="T58" s="78">
        <v>528</v>
      </c>
      <c r="U58" s="78">
        <v>2820</v>
      </c>
      <c r="V58" s="78">
        <v>14424</v>
      </c>
      <c r="W58" s="78">
        <v>4812</v>
      </c>
      <c r="X58" s="78">
        <v>420012</v>
      </c>
      <c r="Y58" s="78">
        <v>0</v>
      </c>
      <c r="Z58" s="78">
        <v>0</v>
      </c>
      <c r="AA58" s="78">
        <v>15396</v>
      </c>
      <c r="AB58" s="78">
        <v>-2448</v>
      </c>
      <c r="AC58" s="78">
        <v>0</v>
      </c>
      <c r="AD58" s="78">
        <v>0</v>
      </c>
      <c r="AE58" s="78">
        <v>0</v>
      </c>
      <c r="AF58" s="78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-972</v>
      </c>
      <c r="AM58" s="78">
        <v>0</v>
      </c>
      <c r="AN58" s="78">
        <v>0</v>
      </c>
      <c r="AO58" s="78">
        <v>0</v>
      </c>
      <c r="AP58" s="78">
        <v>0</v>
      </c>
      <c r="AQ58" s="78">
        <v>0</v>
      </c>
      <c r="AR58" s="78">
        <v>0</v>
      </c>
      <c r="AS58" s="78">
        <v>7212</v>
      </c>
      <c r="AT58" s="78">
        <v>9132</v>
      </c>
      <c r="AU58" s="78">
        <v>5496</v>
      </c>
      <c r="AV58" s="78">
        <v>1116</v>
      </c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59" spans="1:70" ht="12.75">
      <c r="A59" s="75">
        <v>360</v>
      </c>
      <c r="B59" s="77" t="s">
        <v>109</v>
      </c>
      <c r="C59" s="78">
        <v>247032</v>
      </c>
      <c r="D59" s="78">
        <v>25452</v>
      </c>
      <c r="E59" s="78">
        <v>0</v>
      </c>
      <c r="F59" s="78">
        <v>4692</v>
      </c>
      <c r="G59" s="78">
        <v>0</v>
      </c>
      <c r="H59" s="78">
        <v>-2460</v>
      </c>
      <c r="I59" s="78">
        <v>700944</v>
      </c>
      <c r="J59" s="78">
        <v>15072</v>
      </c>
      <c r="K59" s="78">
        <v>-1380</v>
      </c>
      <c r="L59" s="78">
        <v>22776</v>
      </c>
      <c r="M59" s="78">
        <v>14460</v>
      </c>
      <c r="N59" s="78">
        <v>-18564</v>
      </c>
      <c r="O59" s="78">
        <v>19848</v>
      </c>
      <c r="P59" s="78">
        <v>528</v>
      </c>
      <c r="Q59" s="78">
        <v>8052</v>
      </c>
      <c r="R59" s="78">
        <v>10788</v>
      </c>
      <c r="S59" s="78">
        <v>11292</v>
      </c>
      <c r="T59" s="78">
        <v>1080</v>
      </c>
      <c r="U59" s="78">
        <v>2808</v>
      </c>
      <c r="V59" s="78">
        <v>20952</v>
      </c>
      <c r="W59" s="78">
        <v>6984</v>
      </c>
      <c r="X59" s="78">
        <v>610464</v>
      </c>
      <c r="Y59" s="78">
        <v>53184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20964</v>
      </c>
      <c r="AF59" s="78">
        <v>0</v>
      </c>
      <c r="AG59" s="78">
        <v>2304</v>
      </c>
      <c r="AH59" s="78">
        <v>1908</v>
      </c>
      <c r="AI59" s="78">
        <v>0</v>
      </c>
      <c r="AJ59" s="78">
        <v>15216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37668</v>
      </c>
      <c r="AT59" s="78">
        <v>39000</v>
      </c>
      <c r="AU59" s="78">
        <v>-11508</v>
      </c>
      <c r="AV59" s="78">
        <v>1608</v>
      </c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</row>
    <row r="60" spans="1:70" ht="12.75">
      <c r="A60" s="75">
        <v>370</v>
      </c>
      <c r="B60" s="77" t="s">
        <v>43</v>
      </c>
      <c r="C60" s="78">
        <v>224484</v>
      </c>
      <c r="D60" s="78">
        <v>0</v>
      </c>
      <c r="E60" s="78">
        <v>0</v>
      </c>
      <c r="F60" s="78">
        <v>9564</v>
      </c>
      <c r="G60" s="78">
        <v>0</v>
      </c>
      <c r="H60" s="78">
        <v>-5028</v>
      </c>
      <c r="I60" s="78">
        <v>168336</v>
      </c>
      <c r="J60" s="78">
        <v>3624</v>
      </c>
      <c r="K60" s="78">
        <v>-2808</v>
      </c>
      <c r="L60" s="78">
        <v>-19464</v>
      </c>
      <c r="M60" s="78">
        <v>30072</v>
      </c>
      <c r="N60" s="78">
        <v>-37848</v>
      </c>
      <c r="O60" s="78">
        <v>40764</v>
      </c>
      <c r="P60" s="78">
        <v>792</v>
      </c>
      <c r="Q60" s="78">
        <v>11700</v>
      </c>
      <c r="R60" s="78">
        <v>15684</v>
      </c>
      <c r="S60" s="78">
        <v>16428</v>
      </c>
      <c r="T60" s="78">
        <v>1572</v>
      </c>
      <c r="U60" s="78">
        <v>7308</v>
      </c>
      <c r="V60" s="78">
        <v>42720</v>
      </c>
      <c r="W60" s="78">
        <v>14244</v>
      </c>
      <c r="X60" s="78">
        <v>1244232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8">
        <v>0</v>
      </c>
      <c r="AN60" s="78">
        <v>1188</v>
      </c>
      <c r="AO60" s="78">
        <v>1764</v>
      </c>
      <c r="AP60" s="78">
        <v>0</v>
      </c>
      <c r="AQ60" s="78">
        <v>0</v>
      </c>
      <c r="AR60" s="78">
        <v>0</v>
      </c>
      <c r="AS60" s="78">
        <v>76764</v>
      </c>
      <c r="AT60" s="78">
        <v>38856</v>
      </c>
      <c r="AU60" s="78">
        <v>-49800</v>
      </c>
      <c r="AV60" s="78">
        <v>3288</v>
      </c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</row>
    <row r="61" spans="1:70" ht="12.75">
      <c r="A61" s="75">
        <v>376</v>
      </c>
      <c r="B61" s="77" t="s">
        <v>110</v>
      </c>
      <c r="C61" s="78">
        <v>324792</v>
      </c>
      <c r="D61" s="78">
        <v>26544</v>
      </c>
      <c r="E61" s="78">
        <v>0</v>
      </c>
      <c r="F61" s="78">
        <v>6972</v>
      </c>
      <c r="G61" s="78">
        <v>0</v>
      </c>
      <c r="H61" s="78">
        <v>-3660</v>
      </c>
      <c r="I61" s="78">
        <v>443952</v>
      </c>
      <c r="J61" s="78">
        <v>9552</v>
      </c>
      <c r="K61" s="78">
        <v>-2052</v>
      </c>
      <c r="L61" s="78">
        <v>-14256</v>
      </c>
      <c r="M61" s="78">
        <v>21204</v>
      </c>
      <c r="N61" s="78">
        <v>-27588</v>
      </c>
      <c r="O61" s="78">
        <v>30936</v>
      </c>
      <c r="P61" s="78">
        <v>732</v>
      </c>
      <c r="Q61" s="78">
        <v>10860</v>
      </c>
      <c r="R61" s="78">
        <v>14556</v>
      </c>
      <c r="S61" s="78">
        <v>15240</v>
      </c>
      <c r="T61" s="78">
        <v>1452</v>
      </c>
      <c r="U61" s="78">
        <v>4872</v>
      </c>
      <c r="V61" s="78">
        <v>31140</v>
      </c>
      <c r="W61" s="78">
        <v>10380</v>
      </c>
      <c r="X61" s="78">
        <v>907116</v>
      </c>
      <c r="Y61" s="78">
        <v>79020</v>
      </c>
      <c r="Z61" s="78">
        <v>0</v>
      </c>
      <c r="AA61" s="78">
        <v>0</v>
      </c>
      <c r="AB61" s="78">
        <v>0</v>
      </c>
      <c r="AC61" s="78">
        <v>0</v>
      </c>
      <c r="AD61" s="78">
        <v>0</v>
      </c>
      <c r="AE61" s="78">
        <v>0</v>
      </c>
      <c r="AF61" s="78">
        <v>0</v>
      </c>
      <c r="AG61" s="78">
        <v>0</v>
      </c>
      <c r="AH61" s="78">
        <v>0</v>
      </c>
      <c r="AI61" s="78">
        <v>0</v>
      </c>
      <c r="AJ61" s="78">
        <v>22608</v>
      </c>
      <c r="AK61" s="78">
        <v>0</v>
      </c>
      <c r="AL61" s="78">
        <v>0</v>
      </c>
      <c r="AM61" s="78">
        <v>0</v>
      </c>
      <c r="AN61" s="78">
        <v>0</v>
      </c>
      <c r="AO61" s="78">
        <v>0</v>
      </c>
      <c r="AP61" s="78">
        <v>0</v>
      </c>
      <c r="AQ61" s="78">
        <v>0</v>
      </c>
      <c r="AR61" s="78">
        <v>0</v>
      </c>
      <c r="AS61" s="78">
        <v>55968</v>
      </c>
      <c r="AT61" s="78">
        <v>43356</v>
      </c>
      <c r="AU61" s="78">
        <v>-79104</v>
      </c>
      <c r="AV61" s="78">
        <v>2400</v>
      </c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</row>
    <row r="62" spans="1:70" ht="12.75">
      <c r="A62" s="75">
        <v>390</v>
      </c>
      <c r="B62" s="77" t="s">
        <v>45</v>
      </c>
      <c r="C62" s="78">
        <v>175788</v>
      </c>
      <c r="D62" s="78">
        <v>1812</v>
      </c>
      <c r="E62" s="78">
        <v>0</v>
      </c>
      <c r="F62" s="78">
        <v>5232</v>
      </c>
      <c r="G62" s="78">
        <v>0</v>
      </c>
      <c r="H62" s="78">
        <v>-2748</v>
      </c>
      <c r="I62" s="78">
        <v>197616</v>
      </c>
      <c r="J62" s="78">
        <v>4248</v>
      </c>
      <c r="K62" s="78">
        <v>-1536</v>
      </c>
      <c r="L62" s="78">
        <v>-10740</v>
      </c>
      <c r="M62" s="78">
        <v>13500</v>
      </c>
      <c r="N62" s="78">
        <v>-20700</v>
      </c>
      <c r="O62" s="78">
        <v>23460</v>
      </c>
      <c r="P62" s="78">
        <v>360</v>
      </c>
      <c r="Q62" s="78">
        <v>8088</v>
      </c>
      <c r="R62" s="78">
        <v>10836</v>
      </c>
      <c r="S62" s="78">
        <v>11352</v>
      </c>
      <c r="T62" s="78">
        <v>1080</v>
      </c>
      <c r="U62" s="78">
        <v>3300</v>
      </c>
      <c r="V62" s="78">
        <v>23364</v>
      </c>
      <c r="W62" s="78">
        <v>7788</v>
      </c>
      <c r="X62" s="78">
        <v>680496</v>
      </c>
      <c r="Y62" s="78">
        <v>59280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  <c r="AE62" s="78">
        <v>0</v>
      </c>
      <c r="AF62" s="78">
        <v>0</v>
      </c>
      <c r="AG62" s="78">
        <v>0</v>
      </c>
      <c r="AH62" s="78">
        <v>0</v>
      </c>
      <c r="AI62" s="78">
        <v>0</v>
      </c>
      <c r="AJ62" s="78">
        <v>16956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78">
        <v>41988</v>
      </c>
      <c r="AT62" s="78">
        <v>26856</v>
      </c>
      <c r="AU62" s="78">
        <v>-65376</v>
      </c>
      <c r="AV62" s="78">
        <v>1800</v>
      </c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</row>
    <row r="63" spans="1:70" ht="12.75">
      <c r="A63" s="75">
        <v>400</v>
      </c>
      <c r="B63" s="77" t="s">
        <v>155</v>
      </c>
      <c r="C63" s="78">
        <v>194844</v>
      </c>
      <c r="D63" s="78">
        <v>12912</v>
      </c>
      <c r="E63" s="78">
        <v>0</v>
      </c>
      <c r="F63" s="78">
        <v>4524</v>
      </c>
      <c r="G63" s="78">
        <v>0</v>
      </c>
      <c r="H63" s="78">
        <v>-2376</v>
      </c>
      <c r="I63" s="78">
        <v>155628</v>
      </c>
      <c r="J63" s="78">
        <v>3348</v>
      </c>
      <c r="K63" s="78">
        <v>-1332</v>
      </c>
      <c r="L63" s="78">
        <v>21756</v>
      </c>
      <c r="M63" s="78">
        <v>10860</v>
      </c>
      <c r="N63" s="78">
        <v>-17928</v>
      </c>
      <c r="O63" s="78">
        <v>20256</v>
      </c>
      <c r="P63" s="78">
        <v>324</v>
      </c>
      <c r="Q63" s="78">
        <v>7704</v>
      </c>
      <c r="R63" s="78">
        <v>10320</v>
      </c>
      <c r="S63" s="78">
        <v>10812</v>
      </c>
      <c r="T63" s="78">
        <v>1032</v>
      </c>
      <c r="U63" s="78">
        <v>2940</v>
      </c>
      <c r="V63" s="78">
        <v>20244</v>
      </c>
      <c r="W63" s="78">
        <v>6744</v>
      </c>
      <c r="X63" s="78">
        <v>589548</v>
      </c>
      <c r="Y63" s="78">
        <v>68484</v>
      </c>
      <c r="Z63" s="78">
        <v>0</v>
      </c>
      <c r="AA63" s="78">
        <v>0</v>
      </c>
      <c r="AB63" s="78">
        <v>0</v>
      </c>
      <c r="AC63" s="78">
        <v>0</v>
      </c>
      <c r="AD63" s="78">
        <v>0</v>
      </c>
      <c r="AE63" s="78">
        <v>0</v>
      </c>
      <c r="AF63" s="78">
        <v>51204</v>
      </c>
      <c r="AG63" s="78">
        <v>0</v>
      </c>
      <c r="AH63" s="78">
        <v>0</v>
      </c>
      <c r="AI63" s="78">
        <v>0</v>
      </c>
      <c r="AJ63" s="78">
        <v>14700</v>
      </c>
      <c r="AK63" s="78">
        <v>0</v>
      </c>
      <c r="AL63" s="78">
        <v>0</v>
      </c>
      <c r="AM63" s="78">
        <v>0</v>
      </c>
      <c r="AN63" s="78">
        <v>0</v>
      </c>
      <c r="AO63" s="78">
        <v>0</v>
      </c>
      <c r="AP63" s="78">
        <v>-576</v>
      </c>
      <c r="AQ63" s="78">
        <v>0</v>
      </c>
      <c r="AR63" s="78">
        <v>0</v>
      </c>
      <c r="AS63" s="78">
        <v>36372</v>
      </c>
      <c r="AT63" s="78">
        <v>15972</v>
      </c>
      <c r="AU63" s="78">
        <v>-26916</v>
      </c>
      <c r="AV63" s="78">
        <v>1560</v>
      </c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</row>
    <row r="64" spans="1:70" ht="12.75">
      <c r="A64" s="75">
        <v>410</v>
      </c>
      <c r="B64" s="77" t="s">
        <v>48</v>
      </c>
      <c r="C64" s="78">
        <v>70008</v>
      </c>
      <c r="D64" s="78">
        <v>0</v>
      </c>
      <c r="E64" s="78">
        <v>0</v>
      </c>
      <c r="F64" s="78">
        <v>4488</v>
      </c>
      <c r="G64" s="78">
        <v>0</v>
      </c>
      <c r="H64" s="78">
        <v>-2352</v>
      </c>
      <c r="I64" s="78">
        <v>-83064</v>
      </c>
      <c r="J64" s="78">
        <v>0</v>
      </c>
      <c r="K64" s="78">
        <v>-1320</v>
      </c>
      <c r="L64" s="78">
        <v>-9048</v>
      </c>
      <c r="M64" s="78">
        <v>11736</v>
      </c>
      <c r="N64" s="78">
        <v>-17760</v>
      </c>
      <c r="O64" s="78">
        <v>12024</v>
      </c>
      <c r="P64" s="78">
        <v>216</v>
      </c>
      <c r="Q64" s="78">
        <v>5952</v>
      </c>
      <c r="R64" s="78">
        <v>7980</v>
      </c>
      <c r="S64" s="78">
        <v>8352</v>
      </c>
      <c r="T64" s="78">
        <v>792</v>
      </c>
      <c r="U64" s="78">
        <v>3504</v>
      </c>
      <c r="V64" s="78">
        <v>20052</v>
      </c>
      <c r="W64" s="78">
        <v>6684</v>
      </c>
      <c r="X64" s="78">
        <v>584016</v>
      </c>
      <c r="Y64" s="78">
        <v>0</v>
      </c>
      <c r="Z64" s="78">
        <v>0</v>
      </c>
      <c r="AA64" s="78">
        <v>0</v>
      </c>
      <c r="AB64" s="78">
        <v>0</v>
      </c>
      <c r="AC64" s="78">
        <v>0</v>
      </c>
      <c r="AD64" s="78">
        <v>0</v>
      </c>
      <c r="AE64" s="78">
        <v>0</v>
      </c>
      <c r="AF64" s="78">
        <v>0</v>
      </c>
      <c r="AG64" s="78"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8">
        <v>0</v>
      </c>
      <c r="AN64" s="78">
        <v>0</v>
      </c>
      <c r="AO64" s="78">
        <v>0</v>
      </c>
      <c r="AP64" s="78">
        <v>0</v>
      </c>
      <c r="AQ64" s="78">
        <v>0</v>
      </c>
      <c r="AR64" s="78">
        <v>0</v>
      </c>
      <c r="AS64" s="78">
        <v>10020</v>
      </c>
      <c r="AT64" s="78">
        <v>6504</v>
      </c>
      <c r="AU64" s="78">
        <v>-2952</v>
      </c>
      <c r="AV64" s="78">
        <v>1548</v>
      </c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</row>
    <row r="65" spans="1:70" ht="12.75">
      <c r="A65" s="75">
        <v>420</v>
      </c>
      <c r="B65" s="77" t="s">
        <v>46</v>
      </c>
      <c r="C65" s="78">
        <v>194064</v>
      </c>
      <c r="D65" s="78">
        <v>11244</v>
      </c>
      <c r="E65" s="78">
        <v>0</v>
      </c>
      <c r="F65" s="78">
        <v>4704</v>
      </c>
      <c r="G65" s="78">
        <v>0</v>
      </c>
      <c r="H65" s="78">
        <v>-2472</v>
      </c>
      <c r="I65" s="78">
        <v>56580</v>
      </c>
      <c r="J65" s="78">
        <v>1212</v>
      </c>
      <c r="K65" s="78">
        <v>-1380</v>
      </c>
      <c r="L65" s="78">
        <v>-9648</v>
      </c>
      <c r="M65" s="78">
        <v>10608</v>
      </c>
      <c r="N65" s="78">
        <v>-18600</v>
      </c>
      <c r="O65" s="78">
        <v>37632</v>
      </c>
      <c r="P65" s="78">
        <v>636</v>
      </c>
      <c r="Q65" s="78">
        <v>6372</v>
      </c>
      <c r="R65" s="78">
        <v>8544</v>
      </c>
      <c r="S65" s="78">
        <v>8940</v>
      </c>
      <c r="T65" s="78">
        <v>852</v>
      </c>
      <c r="U65" s="78">
        <v>3564</v>
      </c>
      <c r="V65" s="78">
        <v>21000</v>
      </c>
      <c r="W65" s="78">
        <v>6996</v>
      </c>
      <c r="X65" s="78">
        <v>611664</v>
      </c>
      <c r="Y65" s="78">
        <v>35520</v>
      </c>
      <c r="Z65" s="78">
        <v>0</v>
      </c>
      <c r="AA65" s="78">
        <v>0</v>
      </c>
      <c r="AB65" s="78">
        <v>0</v>
      </c>
      <c r="AC65" s="78">
        <v>0</v>
      </c>
      <c r="AD65" s="78">
        <v>0</v>
      </c>
      <c r="AE65" s="78">
        <v>2460</v>
      </c>
      <c r="AF65" s="78">
        <v>0</v>
      </c>
      <c r="AG65" s="78">
        <v>612</v>
      </c>
      <c r="AH65" s="78">
        <v>384</v>
      </c>
      <c r="AI65" s="78">
        <v>0</v>
      </c>
      <c r="AJ65" s="78">
        <v>15240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78">
        <v>37740</v>
      </c>
      <c r="AT65" s="78">
        <v>7824</v>
      </c>
      <c r="AU65" s="78">
        <v>-1236</v>
      </c>
      <c r="AV65" s="78">
        <v>1620</v>
      </c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</row>
    <row r="66" spans="1:70" ht="12.75">
      <c r="A66" s="75">
        <v>430</v>
      </c>
      <c r="B66" s="77" t="s">
        <v>112</v>
      </c>
      <c r="C66" s="78">
        <v>248964</v>
      </c>
      <c r="D66" s="78">
        <v>15288</v>
      </c>
      <c r="E66" s="78">
        <v>0</v>
      </c>
      <c r="F66" s="78">
        <v>5928</v>
      </c>
      <c r="G66" s="78">
        <v>0</v>
      </c>
      <c r="H66" s="78">
        <v>-3120</v>
      </c>
      <c r="I66" s="78">
        <v>44388</v>
      </c>
      <c r="J66" s="78">
        <v>960</v>
      </c>
      <c r="K66" s="78">
        <v>-1740</v>
      </c>
      <c r="L66" s="78">
        <v>-12156</v>
      </c>
      <c r="M66" s="78">
        <v>14700</v>
      </c>
      <c r="N66" s="78">
        <v>-23472</v>
      </c>
      <c r="O66" s="78">
        <v>23052</v>
      </c>
      <c r="P66" s="78">
        <v>672</v>
      </c>
      <c r="Q66" s="78">
        <v>8568</v>
      </c>
      <c r="R66" s="78">
        <v>11484</v>
      </c>
      <c r="S66" s="78">
        <v>12024</v>
      </c>
      <c r="T66" s="78">
        <v>1152</v>
      </c>
      <c r="U66" s="78">
        <v>4548</v>
      </c>
      <c r="V66" s="78">
        <v>26496</v>
      </c>
      <c r="W66" s="78">
        <v>8832</v>
      </c>
      <c r="X66" s="78">
        <v>771660</v>
      </c>
      <c r="Y66" s="78">
        <v>67224</v>
      </c>
      <c r="Z66" s="78">
        <v>0</v>
      </c>
      <c r="AA66" s="78">
        <v>0</v>
      </c>
      <c r="AB66" s="78">
        <v>0</v>
      </c>
      <c r="AC66" s="78">
        <v>0</v>
      </c>
      <c r="AD66" s="78">
        <v>0</v>
      </c>
      <c r="AE66" s="78">
        <v>7200</v>
      </c>
      <c r="AF66" s="78">
        <v>0</v>
      </c>
      <c r="AG66" s="78">
        <v>888</v>
      </c>
      <c r="AH66" s="78">
        <v>1800</v>
      </c>
      <c r="AI66" s="78">
        <v>0</v>
      </c>
      <c r="AJ66" s="78">
        <v>19236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  <c r="AP66" s="78">
        <v>0</v>
      </c>
      <c r="AQ66" s="78">
        <v>0</v>
      </c>
      <c r="AR66" s="78">
        <v>0</v>
      </c>
      <c r="AS66" s="78">
        <v>47604</v>
      </c>
      <c r="AT66" s="78">
        <v>19536</v>
      </c>
      <c r="AU66" s="78">
        <v>-25452</v>
      </c>
      <c r="AV66" s="78">
        <v>2040</v>
      </c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</row>
    <row r="67" spans="1:70" ht="12.75">
      <c r="A67" s="75">
        <v>440</v>
      </c>
      <c r="B67" s="77" t="s">
        <v>47</v>
      </c>
      <c r="C67" s="78">
        <v>76416</v>
      </c>
      <c r="D67" s="78">
        <v>0</v>
      </c>
      <c r="E67" s="78">
        <v>0</v>
      </c>
      <c r="F67" s="78">
        <v>2736</v>
      </c>
      <c r="G67" s="78">
        <v>0</v>
      </c>
      <c r="H67" s="78">
        <v>-1440</v>
      </c>
      <c r="I67" s="78">
        <v>28716</v>
      </c>
      <c r="J67" s="78">
        <v>612</v>
      </c>
      <c r="K67" s="78">
        <v>-804</v>
      </c>
      <c r="L67" s="78">
        <v>-5568</v>
      </c>
      <c r="M67" s="78">
        <v>8328</v>
      </c>
      <c r="N67" s="78">
        <v>-10812</v>
      </c>
      <c r="O67" s="78">
        <v>8748</v>
      </c>
      <c r="P67" s="78">
        <v>360</v>
      </c>
      <c r="Q67" s="78">
        <v>4092</v>
      </c>
      <c r="R67" s="78">
        <v>5484</v>
      </c>
      <c r="S67" s="78">
        <v>5748</v>
      </c>
      <c r="T67" s="78">
        <v>552</v>
      </c>
      <c r="U67" s="78">
        <v>2064</v>
      </c>
      <c r="V67" s="78">
        <v>12204</v>
      </c>
      <c r="W67" s="78">
        <v>4068</v>
      </c>
      <c r="X67" s="78">
        <v>355584</v>
      </c>
      <c r="Y67" s="78">
        <v>20652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-1620</v>
      </c>
      <c r="AQ67" s="78">
        <v>0</v>
      </c>
      <c r="AR67" s="78">
        <v>0</v>
      </c>
      <c r="AS67" s="78">
        <v>21936</v>
      </c>
      <c r="AT67" s="78">
        <v>8172</v>
      </c>
      <c r="AU67" s="78">
        <v>-4332</v>
      </c>
      <c r="AV67" s="78">
        <v>936</v>
      </c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</row>
    <row r="68" spans="1:70" ht="12.75">
      <c r="A68" s="75">
        <v>450</v>
      </c>
      <c r="B68" s="77" t="s">
        <v>49</v>
      </c>
      <c r="C68" s="78">
        <v>127500</v>
      </c>
      <c r="D68" s="78">
        <v>2280</v>
      </c>
      <c r="E68" s="78">
        <v>0</v>
      </c>
      <c r="F68" s="78">
        <v>3684</v>
      </c>
      <c r="G68" s="78">
        <v>0</v>
      </c>
      <c r="H68" s="78">
        <v>-1932</v>
      </c>
      <c r="I68" s="78">
        <v>121728</v>
      </c>
      <c r="J68" s="78">
        <v>2616</v>
      </c>
      <c r="K68" s="78">
        <v>-1080</v>
      </c>
      <c r="L68" s="78">
        <v>-7524</v>
      </c>
      <c r="M68" s="78">
        <v>11856</v>
      </c>
      <c r="N68" s="78">
        <v>-14568</v>
      </c>
      <c r="O68" s="78">
        <v>13164</v>
      </c>
      <c r="P68" s="78">
        <v>492</v>
      </c>
      <c r="Q68" s="78">
        <v>5256</v>
      </c>
      <c r="R68" s="78">
        <v>7044</v>
      </c>
      <c r="S68" s="78">
        <v>7368</v>
      </c>
      <c r="T68" s="78">
        <v>708</v>
      </c>
      <c r="U68" s="78">
        <v>2712</v>
      </c>
      <c r="V68" s="78">
        <v>16440</v>
      </c>
      <c r="W68" s="78">
        <v>5484</v>
      </c>
      <c r="X68" s="78">
        <v>478956</v>
      </c>
      <c r="Y68" s="78">
        <v>41724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29544</v>
      </c>
      <c r="AT68" s="78">
        <v>20448</v>
      </c>
      <c r="AU68" s="78">
        <v>-29448</v>
      </c>
      <c r="AV68" s="78">
        <v>1260</v>
      </c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</row>
    <row r="69" spans="1:70" ht="12.75">
      <c r="A69" s="75">
        <v>461</v>
      </c>
      <c r="B69" s="77" t="s">
        <v>50</v>
      </c>
      <c r="C69" s="78">
        <v>920052</v>
      </c>
      <c r="D69" s="78">
        <v>41424</v>
      </c>
      <c r="E69" s="78">
        <v>0</v>
      </c>
      <c r="F69" s="78">
        <v>23664</v>
      </c>
      <c r="G69" s="78">
        <v>0</v>
      </c>
      <c r="H69" s="78">
        <v>-12432</v>
      </c>
      <c r="I69" s="78">
        <v>148104</v>
      </c>
      <c r="J69" s="78">
        <v>3180</v>
      </c>
      <c r="K69" s="78">
        <v>-6960</v>
      </c>
      <c r="L69" s="78">
        <v>-48072</v>
      </c>
      <c r="M69" s="78">
        <v>112800</v>
      </c>
      <c r="N69" s="78">
        <v>-93672</v>
      </c>
      <c r="O69" s="78">
        <v>47748</v>
      </c>
      <c r="P69" s="78">
        <v>684</v>
      </c>
      <c r="Q69" s="78">
        <v>23904</v>
      </c>
      <c r="R69" s="78">
        <v>32040</v>
      </c>
      <c r="S69" s="78">
        <v>33552</v>
      </c>
      <c r="T69" s="78">
        <v>3204</v>
      </c>
      <c r="U69" s="78">
        <v>20232</v>
      </c>
      <c r="V69" s="78">
        <v>105720</v>
      </c>
      <c r="W69" s="78">
        <v>35244</v>
      </c>
      <c r="X69" s="78">
        <v>3079428</v>
      </c>
      <c r="Y69" s="78">
        <v>0</v>
      </c>
      <c r="Z69" s="78">
        <v>0</v>
      </c>
      <c r="AA69" s="78">
        <v>0</v>
      </c>
      <c r="AB69" s="78">
        <v>0</v>
      </c>
      <c r="AC69" s="78">
        <v>0</v>
      </c>
      <c r="AD69" s="78">
        <v>15240</v>
      </c>
      <c r="AE69" s="78">
        <v>0</v>
      </c>
      <c r="AF69" s="78">
        <v>0</v>
      </c>
      <c r="AG69" s="78">
        <v>0</v>
      </c>
      <c r="AH69" s="78">
        <v>0</v>
      </c>
      <c r="AI69" s="78">
        <v>0</v>
      </c>
      <c r="AJ69" s="78">
        <v>0</v>
      </c>
      <c r="AK69" s="78">
        <v>0</v>
      </c>
      <c r="AL69" s="78">
        <v>0</v>
      </c>
      <c r="AM69" s="78">
        <v>0</v>
      </c>
      <c r="AN69" s="78">
        <v>0</v>
      </c>
      <c r="AO69" s="78">
        <v>0</v>
      </c>
      <c r="AP69" s="78">
        <v>0</v>
      </c>
      <c r="AQ69" s="78">
        <v>0</v>
      </c>
      <c r="AR69" s="78">
        <v>0</v>
      </c>
      <c r="AS69" s="78">
        <v>189984</v>
      </c>
      <c r="AT69" s="78">
        <v>62868</v>
      </c>
      <c r="AU69" s="78">
        <v>0</v>
      </c>
      <c r="AV69" s="78">
        <v>8148</v>
      </c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</row>
    <row r="70" spans="1:70" ht="12.75">
      <c r="A70" s="75">
        <v>479</v>
      </c>
      <c r="B70" s="77" t="s">
        <v>51</v>
      </c>
      <c r="C70" s="78">
        <v>245160</v>
      </c>
      <c r="D70" s="78">
        <v>7608</v>
      </c>
      <c r="E70" s="78">
        <v>0</v>
      </c>
      <c r="F70" s="78">
        <v>6696</v>
      </c>
      <c r="G70" s="78">
        <v>0</v>
      </c>
      <c r="H70" s="78">
        <v>-3516</v>
      </c>
      <c r="I70" s="78">
        <v>53856</v>
      </c>
      <c r="J70" s="78">
        <v>1164</v>
      </c>
      <c r="K70" s="78">
        <v>-1968</v>
      </c>
      <c r="L70" s="78">
        <v>-13740</v>
      </c>
      <c r="M70" s="78">
        <v>18396</v>
      </c>
      <c r="N70" s="78">
        <v>-26532</v>
      </c>
      <c r="O70" s="78">
        <v>28572</v>
      </c>
      <c r="P70" s="78">
        <v>576</v>
      </c>
      <c r="Q70" s="78">
        <v>9396</v>
      </c>
      <c r="R70" s="78">
        <v>12600</v>
      </c>
      <c r="S70" s="78">
        <v>13188</v>
      </c>
      <c r="T70" s="78">
        <v>1260</v>
      </c>
      <c r="U70" s="78">
        <v>5124</v>
      </c>
      <c r="V70" s="78">
        <v>29952</v>
      </c>
      <c r="W70" s="78">
        <v>9984</v>
      </c>
      <c r="X70" s="78">
        <v>872328</v>
      </c>
      <c r="Y70" s="78">
        <v>75996</v>
      </c>
      <c r="Z70" s="78">
        <v>0</v>
      </c>
      <c r="AA70" s="78">
        <v>0</v>
      </c>
      <c r="AB70" s="78">
        <v>0</v>
      </c>
      <c r="AC70" s="78">
        <v>0</v>
      </c>
      <c r="AD70" s="78">
        <v>0</v>
      </c>
      <c r="AE70" s="78">
        <v>7608</v>
      </c>
      <c r="AF70" s="78">
        <v>0</v>
      </c>
      <c r="AG70" s="78">
        <v>228</v>
      </c>
      <c r="AH70" s="78">
        <v>324</v>
      </c>
      <c r="AI70" s="78">
        <v>0</v>
      </c>
      <c r="AJ70" s="78">
        <v>0</v>
      </c>
      <c r="AK70" s="78">
        <v>0</v>
      </c>
      <c r="AL70" s="78">
        <v>0</v>
      </c>
      <c r="AM70" s="78">
        <v>0</v>
      </c>
      <c r="AN70" s="78">
        <v>0</v>
      </c>
      <c r="AO70" s="78">
        <v>0</v>
      </c>
      <c r="AP70" s="78">
        <v>0</v>
      </c>
      <c r="AQ70" s="78">
        <v>0</v>
      </c>
      <c r="AR70" s="78">
        <v>0</v>
      </c>
      <c r="AS70" s="78">
        <v>53820</v>
      </c>
      <c r="AT70" s="78">
        <v>24948</v>
      </c>
      <c r="AU70" s="78">
        <v>-50196</v>
      </c>
      <c r="AV70" s="78">
        <v>2304</v>
      </c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</row>
    <row r="71" spans="1:70" ht="12.75">
      <c r="A71" s="75">
        <v>480</v>
      </c>
      <c r="B71" s="77" t="s">
        <v>129</v>
      </c>
      <c r="C71" s="78">
        <v>138336</v>
      </c>
      <c r="D71" s="78">
        <v>7440</v>
      </c>
      <c r="E71" s="78">
        <v>0</v>
      </c>
      <c r="F71" s="78">
        <v>3420</v>
      </c>
      <c r="G71" s="78">
        <v>0</v>
      </c>
      <c r="H71" s="78">
        <v>-1800</v>
      </c>
      <c r="I71" s="78">
        <v>44232</v>
      </c>
      <c r="J71" s="78">
        <v>948</v>
      </c>
      <c r="K71" s="78">
        <v>-1008</v>
      </c>
      <c r="L71" s="78">
        <v>-6972</v>
      </c>
      <c r="M71" s="78">
        <v>9432</v>
      </c>
      <c r="N71" s="78">
        <v>-13524</v>
      </c>
      <c r="O71" s="78">
        <v>11184</v>
      </c>
      <c r="P71" s="78">
        <v>432</v>
      </c>
      <c r="Q71" s="78">
        <v>4548</v>
      </c>
      <c r="R71" s="78">
        <v>6096</v>
      </c>
      <c r="S71" s="78">
        <v>6384</v>
      </c>
      <c r="T71" s="78">
        <v>612</v>
      </c>
      <c r="U71" s="78">
        <v>2520</v>
      </c>
      <c r="V71" s="78">
        <v>15264</v>
      </c>
      <c r="W71" s="78">
        <v>5088</v>
      </c>
      <c r="X71" s="78">
        <v>444756</v>
      </c>
      <c r="Y71" s="78">
        <v>38748</v>
      </c>
      <c r="Z71" s="78">
        <v>0</v>
      </c>
      <c r="AA71" s="78">
        <v>0</v>
      </c>
      <c r="AB71" s="78">
        <v>0</v>
      </c>
      <c r="AC71" s="78">
        <v>0</v>
      </c>
      <c r="AD71" s="78">
        <v>0</v>
      </c>
      <c r="AE71" s="78">
        <v>0</v>
      </c>
      <c r="AF71" s="78">
        <v>0</v>
      </c>
      <c r="AG71" s="78">
        <v>0</v>
      </c>
      <c r="AH71" s="78">
        <v>0</v>
      </c>
      <c r="AI71" s="78">
        <v>0</v>
      </c>
      <c r="AJ71" s="78">
        <v>11088</v>
      </c>
      <c r="AK71" s="78">
        <v>0</v>
      </c>
      <c r="AL71" s="78">
        <v>0</v>
      </c>
      <c r="AM71" s="78">
        <v>0</v>
      </c>
      <c r="AN71" s="78">
        <v>0</v>
      </c>
      <c r="AO71" s="78">
        <v>0</v>
      </c>
      <c r="AP71" s="78">
        <v>0</v>
      </c>
      <c r="AQ71" s="78">
        <v>0</v>
      </c>
      <c r="AR71" s="78">
        <v>0</v>
      </c>
      <c r="AS71" s="78">
        <v>27444</v>
      </c>
      <c r="AT71" s="78">
        <v>4392</v>
      </c>
      <c r="AU71" s="78">
        <v>-25620</v>
      </c>
      <c r="AV71" s="78">
        <v>1176</v>
      </c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</row>
    <row r="72" spans="1:70" ht="12.75">
      <c r="A72" s="75">
        <v>482</v>
      </c>
      <c r="B72" s="77" t="s">
        <v>113</v>
      </c>
      <c r="C72" s="78">
        <v>63072</v>
      </c>
      <c r="D72" s="78">
        <v>4452</v>
      </c>
      <c r="E72" s="78">
        <v>0</v>
      </c>
      <c r="F72" s="78">
        <v>1440</v>
      </c>
      <c r="G72" s="78">
        <v>0</v>
      </c>
      <c r="H72" s="78">
        <v>-756</v>
      </c>
      <c r="I72" s="78">
        <v>98736</v>
      </c>
      <c r="J72" s="78">
        <v>2124</v>
      </c>
      <c r="K72" s="78">
        <v>-420</v>
      </c>
      <c r="L72" s="78">
        <v>9708</v>
      </c>
      <c r="M72" s="78">
        <v>3252</v>
      </c>
      <c r="N72" s="78">
        <v>-5676</v>
      </c>
      <c r="O72" s="78">
        <v>7044</v>
      </c>
      <c r="P72" s="78">
        <v>192</v>
      </c>
      <c r="Q72" s="78">
        <v>2976</v>
      </c>
      <c r="R72" s="78">
        <v>3984</v>
      </c>
      <c r="S72" s="78">
        <v>4176</v>
      </c>
      <c r="T72" s="78">
        <v>396</v>
      </c>
      <c r="U72" s="78">
        <v>684</v>
      </c>
      <c r="V72" s="78">
        <v>6408</v>
      </c>
      <c r="W72" s="78">
        <v>2136</v>
      </c>
      <c r="X72" s="78">
        <v>186768</v>
      </c>
      <c r="Y72" s="78">
        <v>27120</v>
      </c>
      <c r="Z72" s="78">
        <v>0</v>
      </c>
      <c r="AA72" s="78">
        <v>0</v>
      </c>
      <c r="AB72" s="78">
        <v>0</v>
      </c>
      <c r="AC72" s="78">
        <v>0</v>
      </c>
      <c r="AD72" s="78">
        <v>0</v>
      </c>
      <c r="AE72" s="78">
        <v>4152</v>
      </c>
      <c r="AF72" s="78">
        <v>0</v>
      </c>
      <c r="AG72" s="78">
        <v>552</v>
      </c>
      <c r="AH72" s="78">
        <v>324</v>
      </c>
      <c r="AI72" s="78">
        <v>0</v>
      </c>
      <c r="AJ72" s="78">
        <v>4656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0</v>
      </c>
      <c r="AQ72" s="78">
        <v>0</v>
      </c>
      <c r="AR72" s="78">
        <v>0</v>
      </c>
      <c r="AS72" s="78">
        <v>11520</v>
      </c>
      <c r="AT72" s="78">
        <v>4464</v>
      </c>
      <c r="AU72" s="78">
        <v>-13896</v>
      </c>
      <c r="AV72" s="78">
        <v>492</v>
      </c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</row>
    <row r="73" spans="1:70" ht="12.75">
      <c r="A73" s="75">
        <v>492</v>
      </c>
      <c r="B73" s="77" t="s">
        <v>114</v>
      </c>
      <c r="C73" s="78">
        <v>29724</v>
      </c>
      <c r="D73" s="78">
        <v>2076</v>
      </c>
      <c r="E73" s="78">
        <v>0</v>
      </c>
      <c r="F73" s="78">
        <v>684</v>
      </c>
      <c r="G73" s="78">
        <v>0</v>
      </c>
      <c r="H73" s="78">
        <v>-360</v>
      </c>
      <c r="I73" s="78">
        <v>36312</v>
      </c>
      <c r="J73" s="78">
        <v>780</v>
      </c>
      <c r="K73" s="78">
        <v>-204</v>
      </c>
      <c r="L73" s="78">
        <v>10032</v>
      </c>
      <c r="M73" s="78">
        <v>1248</v>
      </c>
      <c r="N73" s="78">
        <v>-2688</v>
      </c>
      <c r="O73" s="78">
        <v>3492</v>
      </c>
      <c r="P73" s="78">
        <v>72</v>
      </c>
      <c r="Q73" s="78">
        <v>1488</v>
      </c>
      <c r="R73" s="78">
        <v>2004</v>
      </c>
      <c r="S73" s="78">
        <v>2100</v>
      </c>
      <c r="T73" s="78">
        <v>204</v>
      </c>
      <c r="U73" s="78">
        <v>312</v>
      </c>
      <c r="V73" s="78">
        <v>3036</v>
      </c>
      <c r="W73" s="78">
        <v>1008</v>
      </c>
      <c r="X73" s="78">
        <v>88392</v>
      </c>
      <c r="Y73" s="78">
        <v>12828</v>
      </c>
      <c r="Z73" s="78">
        <v>0</v>
      </c>
      <c r="AA73" s="78">
        <v>0</v>
      </c>
      <c r="AB73" s="78">
        <v>0</v>
      </c>
      <c r="AC73" s="78">
        <v>0</v>
      </c>
      <c r="AD73" s="78">
        <v>0</v>
      </c>
      <c r="AE73" s="78">
        <v>1128</v>
      </c>
      <c r="AF73" s="78">
        <v>51504</v>
      </c>
      <c r="AG73" s="78">
        <v>9048</v>
      </c>
      <c r="AH73" s="78">
        <v>20604</v>
      </c>
      <c r="AI73" s="78">
        <v>0</v>
      </c>
      <c r="AJ73" s="78">
        <v>2208</v>
      </c>
      <c r="AK73" s="78">
        <v>0</v>
      </c>
      <c r="AL73" s="78">
        <v>0</v>
      </c>
      <c r="AM73" s="78">
        <v>0</v>
      </c>
      <c r="AN73" s="78">
        <v>0</v>
      </c>
      <c r="AO73" s="78">
        <v>0</v>
      </c>
      <c r="AP73" s="78">
        <v>0</v>
      </c>
      <c r="AQ73" s="78">
        <v>0</v>
      </c>
      <c r="AR73" s="78">
        <v>0</v>
      </c>
      <c r="AS73" s="78">
        <v>5448</v>
      </c>
      <c r="AT73" s="78">
        <v>384</v>
      </c>
      <c r="AU73" s="78">
        <v>-6708</v>
      </c>
      <c r="AV73" s="78">
        <v>228</v>
      </c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</row>
    <row r="74" spans="1:70" ht="12.75">
      <c r="A74" s="75">
        <v>510</v>
      </c>
      <c r="B74" s="77" t="s">
        <v>52</v>
      </c>
      <c r="C74" s="78">
        <v>238476</v>
      </c>
      <c r="D74" s="78">
        <v>8604</v>
      </c>
      <c r="E74" s="78">
        <v>0</v>
      </c>
      <c r="F74" s="78">
        <v>6384</v>
      </c>
      <c r="G74" s="78">
        <v>0</v>
      </c>
      <c r="H74" s="78">
        <v>-3348</v>
      </c>
      <c r="I74" s="78">
        <v>222108</v>
      </c>
      <c r="J74" s="78">
        <v>4776</v>
      </c>
      <c r="K74" s="78">
        <v>-1872</v>
      </c>
      <c r="L74" s="78">
        <v>-13056</v>
      </c>
      <c r="M74" s="78">
        <v>23604</v>
      </c>
      <c r="N74" s="78">
        <v>-25260</v>
      </c>
      <c r="O74" s="78">
        <v>23532</v>
      </c>
      <c r="P74" s="78">
        <v>600</v>
      </c>
      <c r="Q74" s="78">
        <v>8664</v>
      </c>
      <c r="R74" s="78">
        <v>11616</v>
      </c>
      <c r="S74" s="78">
        <v>12168</v>
      </c>
      <c r="T74" s="78">
        <v>1164</v>
      </c>
      <c r="U74" s="78">
        <v>4788</v>
      </c>
      <c r="V74" s="78">
        <v>28500</v>
      </c>
      <c r="W74" s="78">
        <v>9504</v>
      </c>
      <c r="X74" s="78">
        <v>830304</v>
      </c>
      <c r="Y74" s="78">
        <v>72336</v>
      </c>
      <c r="Z74" s="78">
        <v>0</v>
      </c>
      <c r="AA74" s="78">
        <v>0</v>
      </c>
      <c r="AB74" s="78">
        <v>0</v>
      </c>
      <c r="AC74" s="78">
        <v>0</v>
      </c>
      <c r="AD74" s="78">
        <v>0</v>
      </c>
      <c r="AE74" s="78">
        <v>4020</v>
      </c>
      <c r="AF74" s="78">
        <v>0</v>
      </c>
      <c r="AG74" s="78">
        <v>312</v>
      </c>
      <c r="AH74" s="78">
        <v>1044</v>
      </c>
      <c r="AI74" s="78">
        <v>0</v>
      </c>
      <c r="AJ74" s="78">
        <v>0</v>
      </c>
      <c r="AK74" s="78">
        <v>0</v>
      </c>
      <c r="AL74" s="78">
        <v>0</v>
      </c>
      <c r="AM74" s="78">
        <v>0</v>
      </c>
      <c r="AN74" s="78">
        <v>0</v>
      </c>
      <c r="AO74" s="78">
        <v>0</v>
      </c>
      <c r="AP74" s="78">
        <v>0</v>
      </c>
      <c r="AQ74" s="78">
        <v>0</v>
      </c>
      <c r="AR74" s="78">
        <v>0</v>
      </c>
      <c r="AS74" s="78">
        <v>51228</v>
      </c>
      <c r="AT74" s="78">
        <v>9684</v>
      </c>
      <c r="AU74" s="78">
        <v>-43596</v>
      </c>
      <c r="AV74" s="78">
        <v>2196</v>
      </c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</row>
    <row r="75" spans="1:70" ht="12.75">
      <c r="A75" s="75">
        <v>530</v>
      </c>
      <c r="B75" s="77" t="s">
        <v>55</v>
      </c>
      <c r="C75" s="78">
        <v>79080</v>
      </c>
      <c r="D75" s="78">
        <v>0</v>
      </c>
      <c r="E75" s="78">
        <v>0</v>
      </c>
      <c r="F75" s="78">
        <v>3060</v>
      </c>
      <c r="G75" s="78">
        <v>0</v>
      </c>
      <c r="H75" s="78">
        <v>-1608</v>
      </c>
      <c r="I75" s="78">
        <v>30972</v>
      </c>
      <c r="J75" s="78">
        <v>672</v>
      </c>
      <c r="K75" s="78">
        <v>-900</v>
      </c>
      <c r="L75" s="78">
        <v>-6252</v>
      </c>
      <c r="M75" s="78">
        <v>13956</v>
      </c>
      <c r="N75" s="78">
        <v>-12120</v>
      </c>
      <c r="O75" s="78">
        <v>-130836</v>
      </c>
      <c r="P75" s="78">
        <v>300</v>
      </c>
      <c r="Q75" s="78">
        <v>3840</v>
      </c>
      <c r="R75" s="78">
        <v>5136</v>
      </c>
      <c r="S75" s="78">
        <v>5388</v>
      </c>
      <c r="T75" s="78">
        <v>516</v>
      </c>
      <c r="U75" s="78">
        <v>2628</v>
      </c>
      <c r="V75" s="78">
        <v>13680</v>
      </c>
      <c r="W75" s="78">
        <v>4560</v>
      </c>
      <c r="X75" s="78">
        <v>398484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78">
        <v>0</v>
      </c>
      <c r="AE75" s="78">
        <v>0</v>
      </c>
      <c r="AF75" s="78">
        <v>0</v>
      </c>
      <c r="AG75" s="78">
        <v>0</v>
      </c>
      <c r="AH75" s="78">
        <v>0</v>
      </c>
      <c r="AI75" s="78">
        <v>0</v>
      </c>
      <c r="AJ75" s="78">
        <v>0</v>
      </c>
      <c r="AK75" s="78">
        <v>0</v>
      </c>
      <c r="AL75" s="78">
        <v>0</v>
      </c>
      <c r="AM75" s="78">
        <v>8568</v>
      </c>
      <c r="AN75" s="78">
        <v>0</v>
      </c>
      <c r="AO75" s="78">
        <v>0</v>
      </c>
      <c r="AP75" s="78">
        <v>0</v>
      </c>
      <c r="AQ75" s="78">
        <v>0</v>
      </c>
      <c r="AR75" s="78">
        <v>0</v>
      </c>
      <c r="AS75" s="78">
        <v>24588</v>
      </c>
      <c r="AT75" s="78">
        <v>0</v>
      </c>
      <c r="AU75" s="78">
        <v>0</v>
      </c>
      <c r="AV75" s="78">
        <v>1056</v>
      </c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</row>
    <row r="76" spans="1:70" ht="12.75">
      <c r="A76" s="75">
        <v>540</v>
      </c>
      <c r="B76" s="77" t="s">
        <v>53</v>
      </c>
      <c r="C76" s="78">
        <v>237756</v>
      </c>
      <c r="D76" s="78">
        <v>0</v>
      </c>
      <c r="E76" s="78">
        <v>0</v>
      </c>
      <c r="F76" s="78">
        <v>8508</v>
      </c>
      <c r="G76" s="78">
        <v>0</v>
      </c>
      <c r="H76" s="78">
        <v>-4464</v>
      </c>
      <c r="I76" s="78">
        <v>304296</v>
      </c>
      <c r="J76" s="78">
        <v>6540</v>
      </c>
      <c r="K76" s="78">
        <v>-2508</v>
      </c>
      <c r="L76" s="78">
        <v>-9408</v>
      </c>
      <c r="M76" s="78">
        <v>38196</v>
      </c>
      <c r="N76" s="78">
        <v>-33660</v>
      </c>
      <c r="O76" s="78">
        <v>17508</v>
      </c>
      <c r="P76" s="78">
        <v>828</v>
      </c>
      <c r="Q76" s="78">
        <v>12396</v>
      </c>
      <c r="R76" s="78">
        <v>16620</v>
      </c>
      <c r="S76" s="78">
        <v>17400</v>
      </c>
      <c r="T76" s="78">
        <v>1656</v>
      </c>
      <c r="U76" s="78">
        <v>6192</v>
      </c>
      <c r="V76" s="78">
        <v>37992</v>
      </c>
      <c r="W76" s="78">
        <v>12660</v>
      </c>
      <c r="X76" s="78">
        <v>1106784</v>
      </c>
      <c r="Y76" s="78">
        <v>64284</v>
      </c>
      <c r="Z76" s="78">
        <v>0</v>
      </c>
      <c r="AA76" s="78">
        <v>0</v>
      </c>
      <c r="AB76" s="78">
        <v>0</v>
      </c>
      <c r="AC76" s="78">
        <v>17256</v>
      </c>
      <c r="AD76" s="78">
        <v>0</v>
      </c>
      <c r="AE76" s="78">
        <v>0</v>
      </c>
      <c r="AF76" s="78">
        <v>0</v>
      </c>
      <c r="AG76" s="78">
        <v>0</v>
      </c>
      <c r="AH76" s="78">
        <v>0</v>
      </c>
      <c r="AI76" s="78">
        <v>0</v>
      </c>
      <c r="AJ76" s="78">
        <v>0</v>
      </c>
      <c r="AK76" s="78">
        <v>0</v>
      </c>
      <c r="AL76" s="78">
        <v>0</v>
      </c>
      <c r="AM76" s="78">
        <v>0</v>
      </c>
      <c r="AN76" s="78">
        <v>0</v>
      </c>
      <c r="AO76" s="78">
        <v>0</v>
      </c>
      <c r="AP76" s="78">
        <v>0</v>
      </c>
      <c r="AQ76" s="78">
        <v>0</v>
      </c>
      <c r="AR76" s="78">
        <v>0</v>
      </c>
      <c r="AS76" s="78">
        <v>68280</v>
      </c>
      <c r="AT76" s="78">
        <v>14136</v>
      </c>
      <c r="AU76" s="78">
        <v>0</v>
      </c>
      <c r="AV76" s="78">
        <v>2928</v>
      </c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</row>
    <row r="77" spans="1:70" ht="12.75">
      <c r="A77" s="75">
        <v>550</v>
      </c>
      <c r="B77" s="77" t="s">
        <v>54</v>
      </c>
      <c r="C77" s="78">
        <v>207120</v>
      </c>
      <c r="D77" s="78">
        <v>18348</v>
      </c>
      <c r="E77" s="78">
        <v>0</v>
      </c>
      <c r="F77" s="78">
        <v>4284</v>
      </c>
      <c r="G77" s="78">
        <v>0</v>
      </c>
      <c r="H77" s="78">
        <v>-2244</v>
      </c>
      <c r="I77" s="78">
        <v>219348</v>
      </c>
      <c r="J77" s="78">
        <v>4716</v>
      </c>
      <c r="K77" s="78">
        <v>-1260</v>
      </c>
      <c r="L77" s="78">
        <v>-7368</v>
      </c>
      <c r="M77" s="78">
        <v>13056</v>
      </c>
      <c r="N77" s="78">
        <v>-16944</v>
      </c>
      <c r="O77" s="78">
        <v>13332</v>
      </c>
      <c r="P77" s="78">
        <v>504</v>
      </c>
      <c r="Q77" s="78">
        <v>6288</v>
      </c>
      <c r="R77" s="78">
        <v>8424</v>
      </c>
      <c r="S77" s="78">
        <v>8832</v>
      </c>
      <c r="T77" s="78">
        <v>840</v>
      </c>
      <c r="U77" s="78">
        <v>3300</v>
      </c>
      <c r="V77" s="78">
        <v>19116</v>
      </c>
      <c r="W77" s="78">
        <v>6372</v>
      </c>
      <c r="X77" s="78">
        <v>557004</v>
      </c>
      <c r="Y77" s="78">
        <v>48528</v>
      </c>
      <c r="Z77" s="78">
        <v>0</v>
      </c>
      <c r="AA77" s="78">
        <v>0</v>
      </c>
      <c r="AB77" s="78">
        <v>0</v>
      </c>
      <c r="AC77" s="78">
        <v>9132</v>
      </c>
      <c r="AD77" s="78">
        <v>0</v>
      </c>
      <c r="AE77" s="78">
        <v>0</v>
      </c>
      <c r="AF77" s="78">
        <v>0</v>
      </c>
      <c r="AG77" s="78">
        <v>0</v>
      </c>
      <c r="AH77" s="78">
        <v>0</v>
      </c>
      <c r="AI77" s="78">
        <v>0</v>
      </c>
      <c r="AJ77" s="78">
        <v>13884</v>
      </c>
      <c r="AK77" s="78">
        <v>0</v>
      </c>
      <c r="AL77" s="78">
        <v>0</v>
      </c>
      <c r="AM77" s="78">
        <v>0</v>
      </c>
      <c r="AN77" s="78">
        <v>0</v>
      </c>
      <c r="AO77" s="78">
        <v>0</v>
      </c>
      <c r="AP77" s="78">
        <v>0</v>
      </c>
      <c r="AQ77" s="78">
        <v>0</v>
      </c>
      <c r="AR77" s="78">
        <v>0</v>
      </c>
      <c r="AS77" s="78">
        <v>34368</v>
      </c>
      <c r="AT77" s="78">
        <v>6672</v>
      </c>
      <c r="AU77" s="78">
        <v>-18708</v>
      </c>
      <c r="AV77" s="78">
        <v>1476</v>
      </c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</row>
    <row r="78" spans="1:70" ht="12.75">
      <c r="A78" s="75">
        <v>561</v>
      </c>
      <c r="B78" s="77" t="s">
        <v>56</v>
      </c>
      <c r="C78" s="78">
        <v>285372</v>
      </c>
      <c r="D78" s="78">
        <v>0</v>
      </c>
      <c r="E78" s="78">
        <v>0</v>
      </c>
      <c r="F78" s="78">
        <v>13260</v>
      </c>
      <c r="G78" s="78">
        <v>0</v>
      </c>
      <c r="H78" s="78">
        <v>-6960</v>
      </c>
      <c r="I78" s="78">
        <v>211956</v>
      </c>
      <c r="J78" s="78">
        <v>4560</v>
      </c>
      <c r="K78" s="78">
        <v>-3900</v>
      </c>
      <c r="L78" s="78">
        <v>-27084</v>
      </c>
      <c r="M78" s="78">
        <v>47064</v>
      </c>
      <c r="N78" s="78">
        <v>-52488</v>
      </c>
      <c r="O78" s="78">
        <v>36192</v>
      </c>
      <c r="P78" s="78">
        <v>972</v>
      </c>
      <c r="Q78" s="78">
        <v>15924</v>
      </c>
      <c r="R78" s="78">
        <v>21336</v>
      </c>
      <c r="S78" s="78">
        <v>22344</v>
      </c>
      <c r="T78" s="78">
        <v>2136</v>
      </c>
      <c r="U78" s="78">
        <v>11292</v>
      </c>
      <c r="V78" s="78">
        <v>59244</v>
      </c>
      <c r="W78" s="78">
        <v>19752</v>
      </c>
      <c r="X78" s="78">
        <v>1725564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78">
        <v>5076</v>
      </c>
      <c r="AE78" s="78">
        <v>432</v>
      </c>
      <c r="AF78" s="78">
        <v>0</v>
      </c>
      <c r="AG78" s="78">
        <v>96</v>
      </c>
      <c r="AH78" s="78">
        <v>0</v>
      </c>
      <c r="AI78" s="78">
        <v>0</v>
      </c>
      <c r="AJ78" s="78">
        <v>0</v>
      </c>
      <c r="AK78" s="78">
        <v>0</v>
      </c>
      <c r="AL78" s="78">
        <v>0</v>
      </c>
      <c r="AM78" s="78">
        <v>0</v>
      </c>
      <c r="AN78" s="78">
        <v>0</v>
      </c>
      <c r="AO78" s="78">
        <v>0</v>
      </c>
      <c r="AP78" s="78">
        <v>0</v>
      </c>
      <c r="AQ78" s="78">
        <v>-5028</v>
      </c>
      <c r="AR78" s="78">
        <v>0</v>
      </c>
      <c r="AS78" s="78">
        <v>106452</v>
      </c>
      <c r="AT78" s="78">
        <v>18888</v>
      </c>
      <c r="AU78" s="78">
        <v>0</v>
      </c>
      <c r="AV78" s="78">
        <v>4560</v>
      </c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</row>
    <row r="79" spans="1:70" ht="12.75">
      <c r="A79" s="75">
        <v>563</v>
      </c>
      <c r="B79" s="77" t="s">
        <v>57</v>
      </c>
      <c r="C79" s="78">
        <v>-22560</v>
      </c>
      <c r="D79" s="78">
        <v>0</v>
      </c>
      <c r="E79" s="78">
        <v>0</v>
      </c>
      <c r="F79" s="78">
        <v>408</v>
      </c>
      <c r="G79" s="78">
        <v>0</v>
      </c>
      <c r="H79" s="78">
        <v>-216</v>
      </c>
      <c r="I79" s="78">
        <v>-16452</v>
      </c>
      <c r="J79" s="78">
        <v>0</v>
      </c>
      <c r="K79" s="78">
        <v>-120</v>
      </c>
      <c r="L79" s="78">
        <v>-684</v>
      </c>
      <c r="M79" s="78">
        <v>1020</v>
      </c>
      <c r="N79" s="78">
        <v>-1608</v>
      </c>
      <c r="O79" s="78">
        <v>2052</v>
      </c>
      <c r="P79" s="78">
        <v>60</v>
      </c>
      <c r="Q79" s="78">
        <v>768</v>
      </c>
      <c r="R79" s="78">
        <v>1032</v>
      </c>
      <c r="S79" s="78">
        <v>1080</v>
      </c>
      <c r="T79" s="78">
        <v>108</v>
      </c>
      <c r="U79" s="78">
        <v>288</v>
      </c>
      <c r="V79" s="78">
        <v>1812</v>
      </c>
      <c r="W79" s="78">
        <v>600</v>
      </c>
      <c r="X79" s="78">
        <v>52836</v>
      </c>
      <c r="Y79" s="78">
        <v>0</v>
      </c>
      <c r="Z79" s="78">
        <v>0</v>
      </c>
      <c r="AA79" s="78">
        <v>0</v>
      </c>
      <c r="AB79" s="78">
        <v>0</v>
      </c>
      <c r="AC79" s="78">
        <v>0</v>
      </c>
      <c r="AD79" s="78">
        <v>0</v>
      </c>
      <c r="AE79" s="78">
        <v>0</v>
      </c>
      <c r="AF79" s="78">
        <v>0</v>
      </c>
      <c r="AG79" s="78">
        <v>5292</v>
      </c>
      <c r="AH79" s="78">
        <v>24228</v>
      </c>
      <c r="AI79" s="78">
        <v>0</v>
      </c>
      <c r="AJ79" s="78">
        <v>0</v>
      </c>
      <c r="AK79" s="78">
        <v>0</v>
      </c>
      <c r="AL79" s="78">
        <v>0</v>
      </c>
      <c r="AM79" s="78">
        <v>0</v>
      </c>
      <c r="AN79" s="78">
        <v>0</v>
      </c>
      <c r="AO79" s="78">
        <v>0</v>
      </c>
      <c r="AP79" s="78">
        <v>0</v>
      </c>
      <c r="AQ79" s="78">
        <v>0</v>
      </c>
      <c r="AR79" s="78">
        <v>0</v>
      </c>
      <c r="AS79" s="78">
        <v>912</v>
      </c>
      <c r="AT79" s="78">
        <v>0</v>
      </c>
      <c r="AU79" s="78">
        <v>2700</v>
      </c>
      <c r="AV79" s="78">
        <v>144</v>
      </c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</row>
    <row r="80" spans="1:70" ht="12.75">
      <c r="A80" s="75">
        <v>573</v>
      </c>
      <c r="B80" s="77" t="s">
        <v>58</v>
      </c>
      <c r="C80" s="78">
        <v>123768</v>
      </c>
      <c r="D80" s="78">
        <v>0</v>
      </c>
      <c r="E80" s="78">
        <v>0</v>
      </c>
      <c r="F80" s="78">
        <v>5724</v>
      </c>
      <c r="G80" s="78">
        <v>0</v>
      </c>
      <c r="H80" s="78">
        <v>-3012</v>
      </c>
      <c r="I80" s="78">
        <v>17136</v>
      </c>
      <c r="J80" s="78">
        <v>372</v>
      </c>
      <c r="K80" s="78">
        <v>-1680</v>
      </c>
      <c r="L80" s="78">
        <v>-11724</v>
      </c>
      <c r="M80" s="78">
        <v>16572</v>
      </c>
      <c r="N80" s="78">
        <v>-22680</v>
      </c>
      <c r="O80" s="78">
        <v>17160</v>
      </c>
      <c r="P80" s="78">
        <v>384</v>
      </c>
      <c r="Q80" s="78">
        <v>7740</v>
      </c>
      <c r="R80" s="78">
        <v>10380</v>
      </c>
      <c r="S80" s="78">
        <v>10872</v>
      </c>
      <c r="T80" s="78">
        <v>1032</v>
      </c>
      <c r="U80" s="78">
        <v>4860</v>
      </c>
      <c r="V80" s="78">
        <v>25596</v>
      </c>
      <c r="W80" s="78">
        <v>8532</v>
      </c>
      <c r="X80" s="78">
        <v>745596</v>
      </c>
      <c r="Y80" s="78">
        <v>43308</v>
      </c>
      <c r="Z80" s="78">
        <v>0</v>
      </c>
      <c r="AA80" s="78">
        <v>0</v>
      </c>
      <c r="AB80" s="78">
        <v>0</v>
      </c>
      <c r="AC80" s="78">
        <v>0</v>
      </c>
      <c r="AD80" s="78">
        <v>0</v>
      </c>
      <c r="AE80" s="78">
        <v>0</v>
      </c>
      <c r="AF80" s="78">
        <v>0</v>
      </c>
      <c r="AG80" s="78">
        <v>0</v>
      </c>
      <c r="AH80" s="78">
        <v>0</v>
      </c>
      <c r="AI80" s="78">
        <v>0</v>
      </c>
      <c r="AJ80" s="78">
        <v>0</v>
      </c>
      <c r="AK80" s="78">
        <v>0</v>
      </c>
      <c r="AL80" s="78">
        <v>0</v>
      </c>
      <c r="AM80" s="78">
        <v>0</v>
      </c>
      <c r="AN80" s="78">
        <v>0</v>
      </c>
      <c r="AO80" s="78">
        <v>0</v>
      </c>
      <c r="AP80" s="78">
        <v>0</v>
      </c>
      <c r="AQ80" s="78">
        <v>0</v>
      </c>
      <c r="AR80" s="78">
        <v>0</v>
      </c>
      <c r="AS80" s="78">
        <v>26844</v>
      </c>
      <c r="AT80" s="78">
        <v>0</v>
      </c>
      <c r="AU80" s="78">
        <v>-15672</v>
      </c>
      <c r="AV80" s="78">
        <v>1968</v>
      </c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</row>
    <row r="81" spans="1:70" ht="12.75">
      <c r="A81" s="75">
        <v>575</v>
      </c>
      <c r="B81" s="77" t="s">
        <v>59</v>
      </c>
      <c r="C81" s="78">
        <v>234084</v>
      </c>
      <c r="D81" s="78">
        <v>20196</v>
      </c>
      <c r="E81" s="78">
        <v>0</v>
      </c>
      <c r="F81" s="78">
        <v>4896</v>
      </c>
      <c r="G81" s="78">
        <v>0</v>
      </c>
      <c r="H81" s="78">
        <v>-2580</v>
      </c>
      <c r="I81" s="78">
        <v>24672</v>
      </c>
      <c r="J81" s="78">
        <v>528</v>
      </c>
      <c r="K81" s="78">
        <v>-1440</v>
      </c>
      <c r="L81" s="78">
        <v>-10032</v>
      </c>
      <c r="M81" s="78">
        <v>16236</v>
      </c>
      <c r="N81" s="78">
        <v>-19392</v>
      </c>
      <c r="O81" s="78">
        <v>14052</v>
      </c>
      <c r="P81" s="78">
        <v>624</v>
      </c>
      <c r="Q81" s="78">
        <v>6216</v>
      </c>
      <c r="R81" s="78">
        <v>8340</v>
      </c>
      <c r="S81" s="78">
        <v>8736</v>
      </c>
      <c r="T81" s="78">
        <v>828</v>
      </c>
      <c r="U81" s="78">
        <v>4200</v>
      </c>
      <c r="V81" s="78">
        <v>21888</v>
      </c>
      <c r="W81" s="78">
        <v>7296</v>
      </c>
      <c r="X81" s="78">
        <v>637692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78">
        <v>0</v>
      </c>
      <c r="AE81" s="78">
        <v>0</v>
      </c>
      <c r="AF81" s="78">
        <v>0</v>
      </c>
      <c r="AG81" s="78">
        <v>0</v>
      </c>
      <c r="AH81" s="78">
        <v>0</v>
      </c>
      <c r="AI81" s="78">
        <v>0</v>
      </c>
      <c r="AJ81" s="78">
        <v>0</v>
      </c>
      <c r="AK81" s="78">
        <v>0</v>
      </c>
      <c r="AL81" s="78">
        <v>0</v>
      </c>
      <c r="AM81" s="78">
        <v>0</v>
      </c>
      <c r="AN81" s="78">
        <v>0</v>
      </c>
      <c r="AO81" s="78">
        <v>0</v>
      </c>
      <c r="AP81" s="78">
        <v>0</v>
      </c>
      <c r="AQ81" s="78">
        <v>0</v>
      </c>
      <c r="AR81" s="78">
        <v>0</v>
      </c>
      <c r="AS81" s="78">
        <v>39336</v>
      </c>
      <c r="AT81" s="78">
        <v>0</v>
      </c>
      <c r="AU81" s="78">
        <v>0</v>
      </c>
      <c r="AV81" s="78">
        <v>1680</v>
      </c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</row>
    <row r="82" spans="1:70" ht="12.75">
      <c r="A82" s="75">
        <v>580</v>
      </c>
      <c r="B82" s="77" t="s">
        <v>115</v>
      </c>
      <c r="C82" s="78">
        <v>293616</v>
      </c>
      <c r="D82" s="78">
        <v>20148</v>
      </c>
      <c r="E82" s="78">
        <v>0</v>
      </c>
      <c r="F82" s="78">
        <v>6744</v>
      </c>
      <c r="G82" s="78">
        <v>0</v>
      </c>
      <c r="H82" s="78">
        <v>-3540</v>
      </c>
      <c r="I82" s="78">
        <v>183468</v>
      </c>
      <c r="J82" s="78">
        <v>3948</v>
      </c>
      <c r="K82" s="78">
        <v>-1980</v>
      </c>
      <c r="L82" s="78">
        <v>-13812</v>
      </c>
      <c r="M82" s="78">
        <v>21852</v>
      </c>
      <c r="N82" s="78">
        <v>-26712</v>
      </c>
      <c r="O82" s="78">
        <v>14832</v>
      </c>
      <c r="P82" s="78">
        <v>432</v>
      </c>
      <c r="Q82" s="78">
        <v>9144</v>
      </c>
      <c r="R82" s="78">
        <v>12252</v>
      </c>
      <c r="S82" s="78">
        <v>12828</v>
      </c>
      <c r="T82" s="78">
        <v>1224</v>
      </c>
      <c r="U82" s="78">
        <v>5268</v>
      </c>
      <c r="V82" s="78">
        <v>30144</v>
      </c>
      <c r="W82" s="78">
        <v>10044</v>
      </c>
      <c r="X82" s="78">
        <v>878148</v>
      </c>
      <c r="Y82" s="78">
        <v>51000</v>
      </c>
      <c r="Z82" s="78">
        <v>0</v>
      </c>
      <c r="AA82" s="78">
        <v>0</v>
      </c>
      <c r="AB82" s="78">
        <v>0</v>
      </c>
      <c r="AC82" s="78">
        <v>25368</v>
      </c>
      <c r="AD82" s="78">
        <v>0</v>
      </c>
      <c r="AE82" s="78">
        <v>2112</v>
      </c>
      <c r="AF82" s="78">
        <v>0</v>
      </c>
      <c r="AG82" s="78">
        <v>180</v>
      </c>
      <c r="AH82" s="78">
        <v>216</v>
      </c>
      <c r="AI82" s="78">
        <v>936</v>
      </c>
      <c r="AJ82" s="78">
        <v>21888</v>
      </c>
      <c r="AK82" s="78">
        <v>0</v>
      </c>
      <c r="AL82" s="78">
        <v>0</v>
      </c>
      <c r="AM82" s="78">
        <v>0</v>
      </c>
      <c r="AN82" s="78">
        <v>0</v>
      </c>
      <c r="AO82" s="78">
        <v>0</v>
      </c>
      <c r="AP82" s="78">
        <v>0</v>
      </c>
      <c r="AQ82" s="78">
        <v>0</v>
      </c>
      <c r="AR82" s="78">
        <v>0</v>
      </c>
      <c r="AS82" s="78">
        <v>54180</v>
      </c>
      <c r="AT82" s="78">
        <v>11448</v>
      </c>
      <c r="AU82" s="78">
        <v>-25464</v>
      </c>
      <c r="AV82" s="78">
        <v>2316</v>
      </c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</row>
    <row r="83" spans="1:70" ht="12.75">
      <c r="A83" s="75">
        <v>607</v>
      </c>
      <c r="B83" s="77" t="s">
        <v>60</v>
      </c>
      <c r="C83" s="78">
        <v>98004</v>
      </c>
      <c r="D83" s="78">
        <v>0</v>
      </c>
      <c r="E83" s="78">
        <v>0</v>
      </c>
      <c r="F83" s="78">
        <v>5916</v>
      </c>
      <c r="G83" s="78">
        <v>0</v>
      </c>
      <c r="H83" s="78">
        <v>-3108</v>
      </c>
      <c r="I83" s="78">
        <v>239424</v>
      </c>
      <c r="J83" s="78">
        <v>5148</v>
      </c>
      <c r="K83" s="78">
        <v>-1740</v>
      </c>
      <c r="L83" s="78">
        <v>-12084</v>
      </c>
      <c r="M83" s="78">
        <v>24900</v>
      </c>
      <c r="N83" s="78">
        <v>-23424</v>
      </c>
      <c r="O83" s="78">
        <v>-37536</v>
      </c>
      <c r="P83" s="78">
        <v>588</v>
      </c>
      <c r="Q83" s="78">
        <v>7236</v>
      </c>
      <c r="R83" s="78">
        <v>9696</v>
      </c>
      <c r="S83" s="78">
        <v>10152</v>
      </c>
      <c r="T83" s="78">
        <v>972</v>
      </c>
      <c r="U83" s="78">
        <v>4728</v>
      </c>
      <c r="V83" s="78">
        <v>26436</v>
      </c>
      <c r="W83" s="78">
        <v>8808</v>
      </c>
      <c r="X83" s="78">
        <v>770064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78">
        <v>0</v>
      </c>
      <c r="AE83" s="78">
        <v>0</v>
      </c>
      <c r="AF83" s="78">
        <v>0</v>
      </c>
      <c r="AG83" s="78">
        <v>0</v>
      </c>
      <c r="AH83" s="78">
        <v>0</v>
      </c>
      <c r="AI83" s="78">
        <v>0</v>
      </c>
      <c r="AJ83" s="78">
        <v>0</v>
      </c>
      <c r="AK83" s="78">
        <v>0</v>
      </c>
      <c r="AL83" s="78">
        <v>0</v>
      </c>
      <c r="AM83" s="78">
        <v>0</v>
      </c>
      <c r="AN83" s="78">
        <v>0</v>
      </c>
      <c r="AO83" s="78">
        <v>492</v>
      </c>
      <c r="AP83" s="78">
        <v>0</v>
      </c>
      <c r="AQ83" s="78">
        <v>0</v>
      </c>
      <c r="AR83" s="78">
        <v>0</v>
      </c>
      <c r="AS83" s="78">
        <v>27720</v>
      </c>
      <c r="AT83" s="78">
        <v>25980</v>
      </c>
      <c r="AU83" s="78">
        <v>0</v>
      </c>
      <c r="AV83" s="78">
        <v>2040</v>
      </c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</row>
    <row r="84" spans="1:70" ht="12.75">
      <c r="A84" s="75">
        <v>615</v>
      </c>
      <c r="B84" s="77" t="s">
        <v>62</v>
      </c>
      <c r="C84" s="78">
        <v>324444</v>
      </c>
      <c r="D84" s="78">
        <v>0</v>
      </c>
      <c r="E84" s="78">
        <v>0</v>
      </c>
      <c r="F84" s="78">
        <v>10536</v>
      </c>
      <c r="G84" s="78">
        <v>0</v>
      </c>
      <c r="H84" s="78">
        <v>-5544</v>
      </c>
      <c r="I84" s="78">
        <v>-348</v>
      </c>
      <c r="J84" s="78">
        <v>0</v>
      </c>
      <c r="K84" s="78">
        <v>-3108</v>
      </c>
      <c r="L84" s="78">
        <v>18612</v>
      </c>
      <c r="M84" s="78">
        <v>39168</v>
      </c>
      <c r="N84" s="78">
        <v>-41736</v>
      </c>
      <c r="O84" s="78">
        <v>10524</v>
      </c>
      <c r="P84" s="78">
        <v>972</v>
      </c>
      <c r="Q84" s="78">
        <v>11100</v>
      </c>
      <c r="R84" s="78">
        <v>14880</v>
      </c>
      <c r="S84" s="78">
        <v>15588</v>
      </c>
      <c r="T84" s="78">
        <v>1488</v>
      </c>
      <c r="U84" s="78">
        <v>9756</v>
      </c>
      <c r="V84" s="78">
        <v>47112</v>
      </c>
      <c r="W84" s="78">
        <v>15708</v>
      </c>
      <c r="X84" s="78">
        <v>1372188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  <c r="AE84" s="78">
        <v>9660</v>
      </c>
      <c r="AF84" s="78">
        <v>0</v>
      </c>
      <c r="AG84" s="78">
        <v>576</v>
      </c>
      <c r="AH84" s="78">
        <v>408</v>
      </c>
      <c r="AI84" s="78">
        <v>0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  <c r="AP84" s="78">
        <v>0</v>
      </c>
      <c r="AQ84" s="78">
        <v>0</v>
      </c>
      <c r="AR84" s="78">
        <v>0</v>
      </c>
      <c r="AS84" s="78">
        <v>84660</v>
      </c>
      <c r="AT84" s="78">
        <v>2076</v>
      </c>
      <c r="AU84" s="78">
        <v>13404</v>
      </c>
      <c r="AV84" s="78">
        <v>3624</v>
      </c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</row>
    <row r="85" spans="1:70" ht="12.75">
      <c r="A85" s="75">
        <v>621</v>
      </c>
      <c r="B85" s="77" t="s">
        <v>63</v>
      </c>
      <c r="C85" s="78">
        <v>146052</v>
      </c>
      <c r="D85" s="78">
        <v>0</v>
      </c>
      <c r="E85" s="78">
        <v>0</v>
      </c>
      <c r="F85" s="78">
        <v>10740</v>
      </c>
      <c r="G85" s="78">
        <v>0</v>
      </c>
      <c r="H85" s="78">
        <v>-5640</v>
      </c>
      <c r="I85" s="78">
        <v>-43104</v>
      </c>
      <c r="J85" s="78">
        <v>0</v>
      </c>
      <c r="K85" s="78">
        <v>-3156</v>
      </c>
      <c r="L85" s="78">
        <v>-21840</v>
      </c>
      <c r="M85" s="78">
        <v>43356</v>
      </c>
      <c r="N85" s="78">
        <v>-42492</v>
      </c>
      <c r="O85" s="78">
        <v>10248</v>
      </c>
      <c r="P85" s="78">
        <v>456</v>
      </c>
      <c r="Q85" s="78">
        <v>11844</v>
      </c>
      <c r="R85" s="78">
        <v>15876</v>
      </c>
      <c r="S85" s="78">
        <v>16620</v>
      </c>
      <c r="T85" s="78">
        <v>1584</v>
      </c>
      <c r="U85" s="78">
        <v>9348</v>
      </c>
      <c r="V85" s="78">
        <v>47964</v>
      </c>
      <c r="W85" s="78">
        <v>15984</v>
      </c>
      <c r="X85" s="78">
        <v>1397184</v>
      </c>
      <c r="Y85" s="78">
        <v>0</v>
      </c>
      <c r="Z85" s="78">
        <v>0</v>
      </c>
      <c r="AA85" s="78">
        <v>0</v>
      </c>
      <c r="AB85" s="78">
        <v>0</v>
      </c>
      <c r="AC85" s="78">
        <v>0</v>
      </c>
      <c r="AD85" s="78">
        <v>5076</v>
      </c>
      <c r="AE85" s="78">
        <v>0</v>
      </c>
      <c r="AF85" s="78">
        <v>0</v>
      </c>
      <c r="AG85" s="78">
        <v>0</v>
      </c>
      <c r="AH85" s="78">
        <v>0</v>
      </c>
      <c r="AI85" s="78">
        <v>0</v>
      </c>
      <c r="AJ85" s="78">
        <v>0</v>
      </c>
      <c r="AK85" s="78">
        <v>0</v>
      </c>
      <c r="AL85" s="78">
        <v>0</v>
      </c>
      <c r="AM85" s="78">
        <v>0</v>
      </c>
      <c r="AN85" s="78">
        <v>0</v>
      </c>
      <c r="AO85" s="78">
        <v>0</v>
      </c>
      <c r="AP85" s="78">
        <v>0</v>
      </c>
      <c r="AQ85" s="78">
        <v>-21468</v>
      </c>
      <c r="AR85" s="78">
        <v>0</v>
      </c>
      <c r="AS85" s="78">
        <v>50292</v>
      </c>
      <c r="AT85" s="78">
        <v>13752</v>
      </c>
      <c r="AU85" s="78">
        <v>3216</v>
      </c>
      <c r="AV85" s="78">
        <v>3696</v>
      </c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</row>
    <row r="86" spans="1:70" ht="12.75">
      <c r="A86" s="75">
        <v>630</v>
      </c>
      <c r="B86" s="77" t="s">
        <v>64</v>
      </c>
      <c r="C86" s="78">
        <v>148080</v>
      </c>
      <c r="D86" s="78">
        <v>0</v>
      </c>
      <c r="E86" s="78">
        <v>0</v>
      </c>
      <c r="F86" s="78">
        <v>13392</v>
      </c>
      <c r="G86" s="78">
        <v>0</v>
      </c>
      <c r="H86" s="78">
        <v>-7032</v>
      </c>
      <c r="I86" s="78">
        <v>-96264</v>
      </c>
      <c r="J86" s="78">
        <v>0</v>
      </c>
      <c r="K86" s="78">
        <v>-3936</v>
      </c>
      <c r="L86" s="78">
        <v>-27084</v>
      </c>
      <c r="M86" s="78">
        <v>53796</v>
      </c>
      <c r="N86" s="78">
        <v>-53004</v>
      </c>
      <c r="O86" s="78">
        <v>27180</v>
      </c>
      <c r="P86" s="78">
        <v>1200</v>
      </c>
      <c r="Q86" s="78">
        <v>14784</v>
      </c>
      <c r="R86" s="78">
        <v>19812</v>
      </c>
      <c r="S86" s="78">
        <v>20748</v>
      </c>
      <c r="T86" s="78">
        <v>1980</v>
      </c>
      <c r="U86" s="78">
        <v>12240</v>
      </c>
      <c r="V86" s="78">
        <v>59832</v>
      </c>
      <c r="W86" s="78">
        <v>19944</v>
      </c>
      <c r="X86" s="78">
        <v>1742724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78">
        <v>0</v>
      </c>
      <c r="AE86" s="78">
        <v>0</v>
      </c>
      <c r="AF86" s="78">
        <v>0</v>
      </c>
      <c r="AG86" s="78">
        <v>0</v>
      </c>
      <c r="AH86" s="78">
        <v>0</v>
      </c>
      <c r="AI86" s="78">
        <v>0</v>
      </c>
      <c r="AJ86" s="78">
        <v>0</v>
      </c>
      <c r="AK86" s="78">
        <v>0</v>
      </c>
      <c r="AL86" s="78">
        <v>0</v>
      </c>
      <c r="AM86" s="78">
        <v>0</v>
      </c>
      <c r="AN86" s="78">
        <v>19860</v>
      </c>
      <c r="AO86" s="78">
        <v>0</v>
      </c>
      <c r="AP86" s="78">
        <v>0</v>
      </c>
      <c r="AQ86" s="78">
        <v>0</v>
      </c>
      <c r="AR86" s="78">
        <v>0</v>
      </c>
      <c r="AS86" s="78">
        <v>62736</v>
      </c>
      <c r="AT86" s="78">
        <v>0</v>
      </c>
      <c r="AU86" s="78">
        <v>-27552</v>
      </c>
      <c r="AV86" s="78">
        <v>4608</v>
      </c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</row>
    <row r="87" spans="1:70" ht="12.75">
      <c r="A87" s="75">
        <v>657</v>
      </c>
      <c r="B87" s="77" t="s">
        <v>65</v>
      </c>
      <c r="C87" s="78">
        <v>267576</v>
      </c>
      <c r="D87" s="78">
        <v>0</v>
      </c>
      <c r="E87" s="78">
        <v>0</v>
      </c>
      <c r="F87" s="78">
        <v>10272</v>
      </c>
      <c r="G87" s="78">
        <v>0</v>
      </c>
      <c r="H87" s="78">
        <v>-5400</v>
      </c>
      <c r="I87" s="78">
        <v>-158052</v>
      </c>
      <c r="J87" s="78">
        <v>0</v>
      </c>
      <c r="K87" s="78">
        <v>-3024</v>
      </c>
      <c r="L87" s="78">
        <v>-20904</v>
      </c>
      <c r="M87" s="78">
        <v>37584</v>
      </c>
      <c r="N87" s="78">
        <v>-40656</v>
      </c>
      <c r="O87" s="78">
        <v>5640</v>
      </c>
      <c r="P87" s="78">
        <v>-2316</v>
      </c>
      <c r="Q87" s="78">
        <v>11712</v>
      </c>
      <c r="R87" s="78">
        <v>15696</v>
      </c>
      <c r="S87" s="78">
        <v>16428</v>
      </c>
      <c r="T87" s="78">
        <v>1572</v>
      </c>
      <c r="U87" s="78">
        <v>9120</v>
      </c>
      <c r="V87" s="78">
        <v>45876</v>
      </c>
      <c r="W87" s="78">
        <v>15288</v>
      </c>
      <c r="X87" s="78">
        <v>1336440</v>
      </c>
      <c r="Y87" s="78">
        <v>0</v>
      </c>
      <c r="Z87" s="78">
        <v>0</v>
      </c>
      <c r="AA87" s="78">
        <v>0</v>
      </c>
      <c r="AB87" s="78">
        <v>0</v>
      </c>
      <c r="AC87" s="78">
        <v>0</v>
      </c>
      <c r="AD87" s="78">
        <v>0</v>
      </c>
      <c r="AE87" s="78">
        <v>0</v>
      </c>
      <c r="AF87" s="78">
        <v>0</v>
      </c>
      <c r="AG87" s="78">
        <v>0</v>
      </c>
      <c r="AH87" s="78">
        <v>0</v>
      </c>
      <c r="AI87" s="78">
        <v>0</v>
      </c>
      <c r="AJ87" s="78">
        <v>0</v>
      </c>
      <c r="AK87" s="78">
        <v>0</v>
      </c>
      <c r="AL87" s="78">
        <v>0</v>
      </c>
      <c r="AM87" s="78">
        <v>0</v>
      </c>
      <c r="AN87" s="78">
        <v>0</v>
      </c>
      <c r="AO87" s="78">
        <v>0</v>
      </c>
      <c r="AP87" s="78">
        <v>0</v>
      </c>
      <c r="AQ87" s="78">
        <v>0</v>
      </c>
      <c r="AR87" s="78">
        <v>0</v>
      </c>
      <c r="AS87" s="78">
        <v>82452</v>
      </c>
      <c r="AT87" s="78">
        <v>0</v>
      </c>
      <c r="AU87" s="78">
        <v>0</v>
      </c>
      <c r="AV87" s="78">
        <v>3528</v>
      </c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</row>
    <row r="88" spans="1:70" ht="12.75">
      <c r="A88" s="75">
        <v>661</v>
      </c>
      <c r="B88" s="77" t="s">
        <v>66</v>
      </c>
      <c r="C88" s="78">
        <v>268920</v>
      </c>
      <c r="D88" s="78">
        <v>13548</v>
      </c>
      <c r="E88" s="78">
        <v>0</v>
      </c>
      <c r="F88" s="78">
        <v>6744</v>
      </c>
      <c r="G88" s="78">
        <v>0</v>
      </c>
      <c r="H88" s="78">
        <v>-3552</v>
      </c>
      <c r="I88" s="78">
        <v>-110988</v>
      </c>
      <c r="J88" s="78">
        <v>0</v>
      </c>
      <c r="K88" s="78">
        <v>-1980</v>
      </c>
      <c r="L88" s="78">
        <v>-13728</v>
      </c>
      <c r="M88" s="78">
        <v>23712</v>
      </c>
      <c r="N88" s="78">
        <v>-26724</v>
      </c>
      <c r="O88" s="78">
        <v>14796</v>
      </c>
      <c r="P88" s="78">
        <v>144</v>
      </c>
      <c r="Q88" s="78">
        <v>8124</v>
      </c>
      <c r="R88" s="78">
        <v>10896</v>
      </c>
      <c r="S88" s="78">
        <v>11412</v>
      </c>
      <c r="T88" s="78">
        <v>1092</v>
      </c>
      <c r="U88" s="78">
        <v>6276</v>
      </c>
      <c r="V88" s="78">
        <v>30156</v>
      </c>
      <c r="W88" s="78">
        <v>10056</v>
      </c>
      <c r="X88" s="78">
        <v>878412</v>
      </c>
      <c r="Y88" s="78">
        <v>0</v>
      </c>
      <c r="Z88" s="78">
        <v>0</v>
      </c>
      <c r="AA88" s="78">
        <v>0</v>
      </c>
      <c r="AB88" s="78">
        <v>0</v>
      </c>
      <c r="AC88" s="78">
        <v>0</v>
      </c>
      <c r="AD88" s="78">
        <v>0</v>
      </c>
      <c r="AE88" s="78">
        <v>0</v>
      </c>
      <c r="AF88" s="78">
        <v>0</v>
      </c>
      <c r="AG88" s="78">
        <v>0</v>
      </c>
      <c r="AH88" s="78">
        <v>0</v>
      </c>
      <c r="AI88" s="78">
        <v>0</v>
      </c>
      <c r="AJ88" s="78">
        <v>0</v>
      </c>
      <c r="AK88" s="78">
        <v>0</v>
      </c>
      <c r="AL88" s="78">
        <v>0</v>
      </c>
      <c r="AM88" s="78">
        <v>0</v>
      </c>
      <c r="AN88" s="78">
        <v>0</v>
      </c>
      <c r="AO88" s="78">
        <v>0</v>
      </c>
      <c r="AP88" s="78">
        <v>0</v>
      </c>
      <c r="AQ88" s="78">
        <v>-2616</v>
      </c>
      <c r="AR88" s="78">
        <v>0</v>
      </c>
      <c r="AS88" s="78">
        <v>54192</v>
      </c>
      <c r="AT88" s="78">
        <v>9780</v>
      </c>
      <c r="AU88" s="78">
        <v>0</v>
      </c>
      <c r="AV88" s="78">
        <v>2328</v>
      </c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</row>
    <row r="89" spans="1:70" ht="12.75">
      <c r="A89" s="75">
        <v>665</v>
      </c>
      <c r="B89" s="77" t="s">
        <v>67</v>
      </c>
      <c r="C89" s="78">
        <v>58200</v>
      </c>
      <c r="D89" s="78">
        <v>0</v>
      </c>
      <c r="E89" s="78">
        <v>0</v>
      </c>
      <c r="F89" s="78">
        <v>2244</v>
      </c>
      <c r="G89" s="78">
        <v>0</v>
      </c>
      <c r="H89" s="78">
        <v>-1176</v>
      </c>
      <c r="I89" s="78">
        <v>54828</v>
      </c>
      <c r="J89" s="78">
        <v>1176</v>
      </c>
      <c r="K89" s="78">
        <v>-660</v>
      </c>
      <c r="L89" s="78">
        <v>-4644</v>
      </c>
      <c r="M89" s="78">
        <v>5688</v>
      </c>
      <c r="N89" s="78">
        <v>-8892</v>
      </c>
      <c r="O89" s="78">
        <v>600</v>
      </c>
      <c r="P89" s="78">
        <v>264</v>
      </c>
      <c r="Q89" s="78">
        <v>3480</v>
      </c>
      <c r="R89" s="78">
        <v>4656</v>
      </c>
      <c r="S89" s="78">
        <v>4884</v>
      </c>
      <c r="T89" s="78">
        <v>468</v>
      </c>
      <c r="U89" s="78">
        <v>1572</v>
      </c>
      <c r="V89" s="78">
        <v>10044</v>
      </c>
      <c r="W89" s="78">
        <v>3348</v>
      </c>
      <c r="X89" s="78">
        <v>292440</v>
      </c>
      <c r="Y89" s="78">
        <v>16980</v>
      </c>
      <c r="Z89" s="78">
        <v>0</v>
      </c>
      <c r="AA89" s="78">
        <v>0</v>
      </c>
      <c r="AB89" s="78">
        <v>0</v>
      </c>
      <c r="AC89" s="78">
        <v>0</v>
      </c>
      <c r="AD89" s="78">
        <v>0</v>
      </c>
      <c r="AE89" s="78">
        <v>0</v>
      </c>
      <c r="AF89" s="78">
        <v>0</v>
      </c>
      <c r="AG89" s="78">
        <v>0</v>
      </c>
      <c r="AH89" s="78">
        <v>0</v>
      </c>
      <c r="AI89" s="78">
        <v>0</v>
      </c>
      <c r="AJ89" s="78">
        <v>0</v>
      </c>
      <c r="AK89" s="78">
        <v>0</v>
      </c>
      <c r="AL89" s="78">
        <v>0</v>
      </c>
      <c r="AM89" s="78">
        <v>0</v>
      </c>
      <c r="AN89" s="78">
        <v>0</v>
      </c>
      <c r="AO89" s="78">
        <v>0</v>
      </c>
      <c r="AP89" s="78">
        <v>0</v>
      </c>
      <c r="AQ89" s="78">
        <v>0</v>
      </c>
      <c r="AR89" s="78">
        <v>0</v>
      </c>
      <c r="AS89" s="78">
        <v>10524</v>
      </c>
      <c r="AT89" s="78">
        <v>456</v>
      </c>
      <c r="AU89" s="78">
        <v>0</v>
      </c>
      <c r="AV89" s="78">
        <v>768</v>
      </c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</row>
    <row r="90" spans="1:70" ht="12.75">
      <c r="A90" s="75">
        <v>671</v>
      </c>
      <c r="B90" s="77" t="s">
        <v>68</v>
      </c>
      <c r="C90" s="78">
        <v>98988</v>
      </c>
      <c r="D90" s="78">
        <v>5688</v>
      </c>
      <c r="E90" s="78">
        <v>0</v>
      </c>
      <c r="F90" s="78">
        <v>2400</v>
      </c>
      <c r="G90" s="78">
        <v>0</v>
      </c>
      <c r="H90" s="78">
        <v>-1260</v>
      </c>
      <c r="I90" s="78">
        <v>68760</v>
      </c>
      <c r="J90" s="78">
        <v>1476</v>
      </c>
      <c r="K90" s="78">
        <v>-708</v>
      </c>
      <c r="L90" s="78">
        <v>-576</v>
      </c>
      <c r="M90" s="78">
        <v>8256</v>
      </c>
      <c r="N90" s="78">
        <v>-9516</v>
      </c>
      <c r="O90" s="78">
        <v>10140</v>
      </c>
      <c r="P90" s="78">
        <v>324</v>
      </c>
      <c r="Q90" s="78">
        <v>3612</v>
      </c>
      <c r="R90" s="78">
        <v>4848</v>
      </c>
      <c r="S90" s="78">
        <v>5076</v>
      </c>
      <c r="T90" s="78">
        <v>480</v>
      </c>
      <c r="U90" s="78">
        <v>1692</v>
      </c>
      <c r="V90" s="78">
        <v>10740</v>
      </c>
      <c r="W90" s="78">
        <v>3576</v>
      </c>
      <c r="X90" s="78">
        <v>312816</v>
      </c>
      <c r="Y90" s="78">
        <v>27252</v>
      </c>
      <c r="Z90" s="78">
        <v>0</v>
      </c>
      <c r="AA90" s="78">
        <v>0</v>
      </c>
      <c r="AB90" s="78">
        <v>0</v>
      </c>
      <c r="AC90" s="78">
        <v>0</v>
      </c>
      <c r="AD90" s="78">
        <v>0</v>
      </c>
      <c r="AE90" s="78">
        <v>3888</v>
      </c>
      <c r="AF90" s="78">
        <v>0</v>
      </c>
      <c r="AG90" s="78">
        <v>252</v>
      </c>
      <c r="AH90" s="78">
        <v>1068</v>
      </c>
      <c r="AI90" s="78">
        <v>0</v>
      </c>
      <c r="AJ90" s="78">
        <v>7800</v>
      </c>
      <c r="AK90" s="78">
        <v>0</v>
      </c>
      <c r="AL90" s="78">
        <v>0</v>
      </c>
      <c r="AM90" s="78">
        <v>0</v>
      </c>
      <c r="AN90" s="78">
        <v>0</v>
      </c>
      <c r="AO90" s="78">
        <v>0</v>
      </c>
      <c r="AP90" s="78">
        <v>0</v>
      </c>
      <c r="AQ90" s="78">
        <v>0</v>
      </c>
      <c r="AR90" s="78">
        <v>0</v>
      </c>
      <c r="AS90" s="78">
        <v>19296</v>
      </c>
      <c r="AT90" s="78">
        <v>1752</v>
      </c>
      <c r="AU90" s="78">
        <v>-5064</v>
      </c>
      <c r="AV90" s="78">
        <v>828</v>
      </c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</row>
    <row r="91" spans="1:70" ht="12.75">
      <c r="A91" s="75">
        <v>706</v>
      </c>
      <c r="B91" s="77" t="s">
        <v>116</v>
      </c>
      <c r="C91" s="78">
        <v>88368</v>
      </c>
      <c r="D91" s="78">
        <v>0</v>
      </c>
      <c r="E91" s="78">
        <v>0</v>
      </c>
      <c r="F91" s="78">
        <v>4956</v>
      </c>
      <c r="G91" s="78">
        <v>0</v>
      </c>
      <c r="H91" s="78">
        <v>-2604</v>
      </c>
      <c r="I91" s="78">
        <v>-110760</v>
      </c>
      <c r="J91" s="78">
        <v>0</v>
      </c>
      <c r="K91" s="78">
        <v>-1464</v>
      </c>
      <c r="L91" s="78">
        <v>-10056</v>
      </c>
      <c r="M91" s="78">
        <v>11532</v>
      </c>
      <c r="N91" s="78">
        <v>-19644</v>
      </c>
      <c r="O91" s="78">
        <v>15852</v>
      </c>
      <c r="P91" s="78">
        <v>492</v>
      </c>
      <c r="Q91" s="78">
        <v>7008</v>
      </c>
      <c r="R91" s="78">
        <v>9396</v>
      </c>
      <c r="S91" s="78">
        <v>9840</v>
      </c>
      <c r="T91" s="78">
        <v>936</v>
      </c>
      <c r="U91" s="78">
        <v>3864</v>
      </c>
      <c r="V91" s="78">
        <v>22176</v>
      </c>
      <c r="W91" s="78">
        <v>7392</v>
      </c>
      <c r="X91" s="78">
        <v>645900</v>
      </c>
      <c r="Y91" s="78">
        <v>37512</v>
      </c>
      <c r="Z91" s="78">
        <v>0</v>
      </c>
      <c r="AA91" s="78">
        <v>0</v>
      </c>
      <c r="AB91" s="78">
        <v>0</v>
      </c>
      <c r="AC91" s="78">
        <v>0</v>
      </c>
      <c r="AD91" s="78">
        <v>0</v>
      </c>
      <c r="AE91" s="78">
        <v>0</v>
      </c>
      <c r="AF91" s="78">
        <v>0</v>
      </c>
      <c r="AG91" s="78">
        <v>0</v>
      </c>
      <c r="AH91" s="78">
        <v>0</v>
      </c>
      <c r="AI91" s="78">
        <v>0</v>
      </c>
      <c r="AJ91" s="78">
        <v>0</v>
      </c>
      <c r="AK91" s="78">
        <v>0</v>
      </c>
      <c r="AL91" s="78">
        <v>0</v>
      </c>
      <c r="AM91" s="78">
        <v>0</v>
      </c>
      <c r="AN91" s="78">
        <v>0</v>
      </c>
      <c r="AO91" s="78">
        <v>0</v>
      </c>
      <c r="AP91" s="78">
        <v>0</v>
      </c>
      <c r="AQ91" s="78">
        <v>0</v>
      </c>
      <c r="AR91" s="78">
        <v>0</v>
      </c>
      <c r="AS91" s="78">
        <v>23256</v>
      </c>
      <c r="AT91" s="78">
        <v>6228</v>
      </c>
      <c r="AU91" s="78">
        <v>-18168</v>
      </c>
      <c r="AV91" s="78">
        <v>1704</v>
      </c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</row>
    <row r="92" spans="1:70" ht="12.75">
      <c r="A92" s="75">
        <v>707</v>
      </c>
      <c r="B92" s="77" t="s">
        <v>117</v>
      </c>
      <c r="C92" s="78">
        <v>183108</v>
      </c>
      <c r="D92" s="78">
        <v>12228</v>
      </c>
      <c r="E92" s="78">
        <v>0</v>
      </c>
      <c r="F92" s="78">
        <v>4248</v>
      </c>
      <c r="G92" s="78">
        <v>0</v>
      </c>
      <c r="H92" s="78">
        <v>-2232</v>
      </c>
      <c r="I92" s="78">
        <v>138348</v>
      </c>
      <c r="J92" s="78">
        <v>2976</v>
      </c>
      <c r="K92" s="78">
        <v>-1248</v>
      </c>
      <c r="L92" s="78">
        <v>-8820</v>
      </c>
      <c r="M92" s="78">
        <v>10188</v>
      </c>
      <c r="N92" s="78">
        <v>-16812</v>
      </c>
      <c r="O92" s="78">
        <v>14136</v>
      </c>
      <c r="P92" s="78">
        <v>372</v>
      </c>
      <c r="Q92" s="78">
        <v>6216</v>
      </c>
      <c r="R92" s="78">
        <v>8328</v>
      </c>
      <c r="S92" s="78">
        <v>8724</v>
      </c>
      <c r="T92" s="78">
        <v>828</v>
      </c>
      <c r="U92" s="78">
        <v>2880</v>
      </c>
      <c r="V92" s="78">
        <v>18972</v>
      </c>
      <c r="W92" s="78">
        <v>6324</v>
      </c>
      <c r="X92" s="78">
        <v>552696</v>
      </c>
      <c r="Y92" s="78">
        <v>48144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7860</v>
      </c>
      <c r="AF92" s="78">
        <v>0</v>
      </c>
      <c r="AG92" s="78">
        <v>2088</v>
      </c>
      <c r="AH92" s="78">
        <v>1848</v>
      </c>
      <c r="AI92" s="78">
        <v>0</v>
      </c>
      <c r="AJ92" s="78">
        <v>13776</v>
      </c>
      <c r="AK92" s="78">
        <v>0</v>
      </c>
      <c r="AL92" s="78">
        <v>0</v>
      </c>
      <c r="AM92" s="78">
        <v>0</v>
      </c>
      <c r="AN92" s="78">
        <v>0</v>
      </c>
      <c r="AO92" s="78">
        <v>0</v>
      </c>
      <c r="AP92" s="78">
        <v>-13908</v>
      </c>
      <c r="AQ92" s="78">
        <v>0</v>
      </c>
      <c r="AR92" s="78">
        <v>0</v>
      </c>
      <c r="AS92" s="78">
        <v>34104</v>
      </c>
      <c r="AT92" s="78">
        <v>6096</v>
      </c>
      <c r="AU92" s="78">
        <v>-31128</v>
      </c>
      <c r="AV92" s="78">
        <v>1464</v>
      </c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</row>
    <row r="93" spans="1:70" ht="12.75">
      <c r="A93" s="75">
        <v>710</v>
      </c>
      <c r="B93" s="77" t="s">
        <v>118</v>
      </c>
      <c r="C93" s="78">
        <v>69216</v>
      </c>
      <c r="D93" s="78">
        <v>0</v>
      </c>
      <c r="E93" s="78">
        <v>0</v>
      </c>
      <c r="F93" s="78">
        <v>5580</v>
      </c>
      <c r="G93" s="78">
        <v>0</v>
      </c>
      <c r="H93" s="78">
        <v>-2928</v>
      </c>
      <c r="I93" s="78">
        <v>-240672</v>
      </c>
      <c r="J93" s="78">
        <v>0</v>
      </c>
      <c r="K93" s="78">
        <v>-1644</v>
      </c>
      <c r="L93" s="78">
        <v>-11352</v>
      </c>
      <c r="M93" s="78">
        <v>14124</v>
      </c>
      <c r="N93" s="78">
        <v>-22080</v>
      </c>
      <c r="O93" s="78">
        <v>17952</v>
      </c>
      <c r="P93" s="78">
        <v>588</v>
      </c>
      <c r="Q93" s="78">
        <v>5928</v>
      </c>
      <c r="R93" s="78">
        <v>7932</v>
      </c>
      <c r="S93" s="78">
        <v>8316</v>
      </c>
      <c r="T93" s="78">
        <v>792</v>
      </c>
      <c r="U93" s="78">
        <v>5280</v>
      </c>
      <c r="V93" s="78">
        <v>24912</v>
      </c>
      <c r="W93" s="78">
        <v>8304</v>
      </c>
      <c r="X93" s="78">
        <v>725736</v>
      </c>
      <c r="Y93" s="78">
        <v>0</v>
      </c>
      <c r="Z93" s="78">
        <v>0</v>
      </c>
      <c r="AA93" s="78">
        <v>0</v>
      </c>
      <c r="AB93" s="78">
        <v>0</v>
      </c>
      <c r="AC93" s="78">
        <v>0</v>
      </c>
      <c r="AD93" s="78">
        <v>0</v>
      </c>
      <c r="AE93" s="78">
        <v>0</v>
      </c>
      <c r="AF93" s="78">
        <v>0</v>
      </c>
      <c r="AG93" s="78">
        <v>0</v>
      </c>
      <c r="AH93" s="78">
        <v>0</v>
      </c>
      <c r="AI93" s="78">
        <v>0</v>
      </c>
      <c r="AJ93" s="78">
        <v>0</v>
      </c>
      <c r="AK93" s="78">
        <v>0</v>
      </c>
      <c r="AL93" s="78">
        <v>0</v>
      </c>
      <c r="AM93" s="78">
        <v>0</v>
      </c>
      <c r="AN93" s="78">
        <v>0</v>
      </c>
      <c r="AO93" s="78">
        <v>0</v>
      </c>
      <c r="AP93" s="78">
        <v>0</v>
      </c>
      <c r="AQ93" s="78">
        <v>0</v>
      </c>
      <c r="AR93" s="78">
        <v>0</v>
      </c>
      <c r="AS93" s="78">
        <v>12456</v>
      </c>
      <c r="AT93" s="78">
        <v>0</v>
      </c>
      <c r="AU93" s="78">
        <v>10920</v>
      </c>
      <c r="AV93" s="78">
        <v>1920</v>
      </c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</row>
    <row r="94" spans="1:70" ht="12.75">
      <c r="A94" s="75">
        <v>727</v>
      </c>
      <c r="B94" s="77" t="s">
        <v>69</v>
      </c>
      <c r="C94" s="78">
        <v>10476</v>
      </c>
      <c r="D94" s="78">
        <v>0</v>
      </c>
      <c r="E94" s="78">
        <v>0</v>
      </c>
      <c r="F94" s="78">
        <v>2640</v>
      </c>
      <c r="G94" s="78">
        <v>0</v>
      </c>
      <c r="H94" s="78">
        <v>-1392</v>
      </c>
      <c r="I94" s="78">
        <v>-61152</v>
      </c>
      <c r="J94" s="78">
        <v>0</v>
      </c>
      <c r="K94" s="78">
        <v>-780</v>
      </c>
      <c r="L94" s="78">
        <v>-5340</v>
      </c>
      <c r="M94" s="78">
        <v>7572</v>
      </c>
      <c r="N94" s="78">
        <v>-10452</v>
      </c>
      <c r="O94" s="78">
        <v>10728</v>
      </c>
      <c r="P94" s="78">
        <v>360</v>
      </c>
      <c r="Q94" s="78">
        <v>3552</v>
      </c>
      <c r="R94" s="78">
        <v>4752</v>
      </c>
      <c r="S94" s="78">
        <v>4980</v>
      </c>
      <c r="T94" s="78">
        <v>480</v>
      </c>
      <c r="U94" s="78">
        <v>2184</v>
      </c>
      <c r="V94" s="78">
        <v>11796</v>
      </c>
      <c r="W94" s="78">
        <v>3936</v>
      </c>
      <c r="X94" s="78">
        <v>343692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8">
        <v>0</v>
      </c>
      <c r="AE94" s="78">
        <v>3336</v>
      </c>
      <c r="AF94" s="78">
        <v>0</v>
      </c>
      <c r="AG94" s="78">
        <v>636</v>
      </c>
      <c r="AH94" s="78">
        <v>1044</v>
      </c>
      <c r="AI94" s="78">
        <v>0</v>
      </c>
      <c r="AJ94" s="78">
        <v>0</v>
      </c>
      <c r="AK94" s="78">
        <v>0</v>
      </c>
      <c r="AL94" s="78">
        <v>0</v>
      </c>
      <c r="AM94" s="78">
        <v>0</v>
      </c>
      <c r="AN94" s="78">
        <v>0</v>
      </c>
      <c r="AO94" s="78">
        <v>0</v>
      </c>
      <c r="AP94" s="78">
        <v>0</v>
      </c>
      <c r="AQ94" s="78">
        <v>0</v>
      </c>
      <c r="AR94" s="78">
        <v>0</v>
      </c>
      <c r="AS94" s="78">
        <v>5904</v>
      </c>
      <c r="AT94" s="78">
        <v>312</v>
      </c>
      <c r="AU94" s="78">
        <v>0</v>
      </c>
      <c r="AV94" s="78">
        <v>912</v>
      </c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</row>
    <row r="95" spans="1:70" ht="12.75">
      <c r="A95" s="75">
        <v>730</v>
      </c>
      <c r="B95" s="77" t="s">
        <v>70</v>
      </c>
      <c r="C95" s="78">
        <v>430644</v>
      </c>
      <c r="D95" s="78">
        <v>17844</v>
      </c>
      <c r="E95" s="78">
        <v>0</v>
      </c>
      <c r="F95" s="78">
        <v>11256</v>
      </c>
      <c r="G95" s="78">
        <v>0</v>
      </c>
      <c r="H95" s="78">
        <v>-5916</v>
      </c>
      <c r="I95" s="78">
        <v>225636</v>
      </c>
      <c r="J95" s="78">
        <v>4848</v>
      </c>
      <c r="K95" s="78">
        <v>-3312</v>
      </c>
      <c r="L95" s="78">
        <v>-22992</v>
      </c>
      <c r="M95" s="78">
        <v>33528</v>
      </c>
      <c r="N95" s="78">
        <v>-44556</v>
      </c>
      <c r="O95" s="78">
        <v>37560</v>
      </c>
      <c r="P95" s="78">
        <v>852</v>
      </c>
      <c r="Q95" s="78">
        <v>13428</v>
      </c>
      <c r="R95" s="78">
        <v>18000</v>
      </c>
      <c r="S95" s="78">
        <v>18852</v>
      </c>
      <c r="T95" s="78">
        <v>1800</v>
      </c>
      <c r="U95" s="78">
        <v>9396</v>
      </c>
      <c r="V95" s="78">
        <v>50280</v>
      </c>
      <c r="W95" s="78">
        <v>16764</v>
      </c>
      <c r="X95" s="78">
        <v>1464672</v>
      </c>
      <c r="Y95" s="78">
        <v>0</v>
      </c>
      <c r="Z95" s="78">
        <v>0</v>
      </c>
      <c r="AA95" s="78">
        <v>0</v>
      </c>
      <c r="AB95" s="78">
        <v>0</v>
      </c>
      <c r="AC95" s="78">
        <v>0</v>
      </c>
      <c r="AD95" s="78">
        <v>0</v>
      </c>
      <c r="AE95" s="78">
        <v>0</v>
      </c>
      <c r="AF95" s="78">
        <v>0</v>
      </c>
      <c r="AG95" s="78">
        <v>0</v>
      </c>
      <c r="AH95" s="78">
        <v>0</v>
      </c>
      <c r="AI95" s="78">
        <v>0</v>
      </c>
      <c r="AJ95" s="78">
        <v>0</v>
      </c>
      <c r="AK95" s="78">
        <v>0</v>
      </c>
      <c r="AL95" s="78">
        <v>0</v>
      </c>
      <c r="AM95" s="78">
        <v>0</v>
      </c>
      <c r="AN95" s="78">
        <v>0</v>
      </c>
      <c r="AO95" s="78">
        <v>0</v>
      </c>
      <c r="AP95" s="78">
        <v>0</v>
      </c>
      <c r="AQ95" s="78">
        <v>-3900</v>
      </c>
      <c r="AR95" s="78">
        <v>0</v>
      </c>
      <c r="AS95" s="78">
        <v>90360</v>
      </c>
      <c r="AT95" s="78">
        <v>30828</v>
      </c>
      <c r="AU95" s="78">
        <v>-13968</v>
      </c>
      <c r="AV95" s="78">
        <v>3876</v>
      </c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</row>
    <row r="96" spans="1:70" ht="12.75">
      <c r="A96" s="75">
        <v>740</v>
      </c>
      <c r="B96" s="77" t="s">
        <v>72</v>
      </c>
      <c r="C96" s="78">
        <v>113664</v>
      </c>
      <c r="D96" s="78">
        <v>0</v>
      </c>
      <c r="E96" s="78">
        <v>0</v>
      </c>
      <c r="F96" s="78">
        <v>10884</v>
      </c>
      <c r="G96" s="78">
        <v>0</v>
      </c>
      <c r="H96" s="78">
        <v>-5724</v>
      </c>
      <c r="I96" s="78">
        <v>-271176</v>
      </c>
      <c r="J96" s="78">
        <v>0</v>
      </c>
      <c r="K96" s="78">
        <v>-3204</v>
      </c>
      <c r="L96" s="78">
        <v>-21924</v>
      </c>
      <c r="M96" s="78">
        <v>30480</v>
      </c>
      <c r="N96" s="78">
        <v>-43104</v>
      </c>
      <c r="O96" s="78">
        <v>22524</v>
      </c>
      <c r="P96" s="78">
        <v>1104</v>
      </c>
      <c r="Q96" s="78">
        <v>12216</v>
      </c>
      <c r="R96" s="78">
        <v>16368</v>
      </c>
      <c r="S96" s="78">
        <v>17136</v>
      </c>
      <c r="T96" s="78">
        <v>1632</v>
      </c>
      <c r="U96" s="78">
        <v>10248</v>
      </c>
      <c r="V96" s="78">
        <v>48648</v>
      </c>
      <c r="W96" s="78">
        <v>16212</v>
      </c>
      <c r="X96" s="78">
        <v>1417044</v>
      </c>
      <c r="Y96" s="78">
        <v>0</v>
      </c>
      <c r="Z96" s="78">
        <v>0</v>
      </c>
      <c r="AA96" s="78">
        <v>0</v>
      </c>
      <c r="AB96" s="78">
        <v>0</v>
      </c>
      <c r="AC96" s="78">
        <v>0</v>
      </c>
      <c r="AD96" s="78">
        <v>0</v>
      </c>
      <c r="AE96" s="78">
        <v>0</v>
      </c>
      <c r="AF96" s="78">
        <v>0</v>
      </c>
      <c r="AG96" s="78">
        <v>0</v>
      </c>
      <c r="AH96" s="78">
        <v>0</v>
      </c>
      <c r="AI96" s="78">
        <v>0</v>
      </c>
      <c r="AJ96" s="78">
        <v>0</v>
      </c>
      <c r="AK96" s="78">
        <v>0</v>
      </c>
      <c r="AL96" s="78">
        <v>0</v>
      </c>
      <c r="AM96" s="78">
        <v>0</v>
      </c>
      <c r="AN96" s="78">
        <v>0</v>
      </c>
      <c r="AO96" s="78">
        <v>0</v>
      </c>
      <c r="AP96" s="78">
        <v>0</v>
      </c>
      <c r="AQ96" s="78">
        <v>0</v>
      </c>
      <c r="AR96" s="78">
        <v>0</v>
      </c>
      <c r="AS96" s="78">
        <v>24324</v>
      </c>
      <c r="AT96" s="78">
        <v>6372</v>
      </c>
      <c r="AU96" s="78">
        <v>0</v>
      </c>
      <c r="AV96" s="78">
        <v>3744</v>
      </c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</row>
    <row r="97" spans="1:70" ht="12.75">
      <c r="A97" s="75">
        <v>741</v>
      </c>
      <c r="B97" s="77" t="s">
        <v>71</v>
      </c>
      <c r="C97" s="78">
        <v>8352</v>
      </c>
      <c r="D97" s="78">
        <v>0</v>
      </c>
      <c r="E97" s="78">
        <v>0</v>
      </c>
      <c r="F97" s="78">
        <v>420</v>
      </c>
      <c r="G97" s="78">
        <v>0</v>
      </c>
      <c r="H97" s="78">
        <v>-216</v>
      </c>
      <c r="I97" s="78">
        <v>15660</v>
      </c>
      <c r="J97" s="78">
        <v>336</v>
      </c>
      <c r="K97" s="78">
        <v>-120</v>
      </c>
      <c r="L97" s="78">
        <v>-864</v>
      </c>
      <c r="M97" s="78">
        <v>780</v>
      </c>
      <c r="N97" s="78">
        <v>-1668</v>
      </c>
      <c r="O97" s="78">
        <v>1716</v>
      </c>
      <c r="P97" s="78">
        <v>48</v>
      </c>
      <c r="Q97" s="78">
        <v>876</v>
      </c>
      <c r="R97" s="78">
        <v>1164</v>
      </c>
      <c r="S97" s="78">
        <v>1224</v>
      </c>
      <c r="T97" s="78">
        <v>120</v>
      </c>
      <c r="U97" s="78">
        <v>252</v>
      </c>
      <c r="V97" s="78">
        <v>1884</v>
      </c>
      <c r="W97" s="78">
        <v>624</v>
      </c>
      <c r="X97" s="78">
        <v>54828</v>
      </c>
      <c r="Y97" s="78">
        <v>4776</v>
      </c>
      <c r="Z97" s="78">
        <v>0</v>
      </c>
      <c r="AA97" s="78">
        <v>0</v>
      </c>
      <c r="AB97" s="78">
        <v>0</v>
      </c>
      <c r="AC97" s="78">
        <v>0</v>
      </c>
      <c r="AD97" s="78">
        <v>0</v>
      </c>
      <c r="AE97" s="78">
        <v>0</v>
      </c>
      <c r="AF97" s="78">
        <v>52788</v>
      </c>
      <c r="AG97" s="78">
        <v>7632</v>
      </c>
      <c r="AH97" s="78">
        <v>16632</v>
      </c>
      <c r="AI97" s="78">
        <v>0</v>
      </c>
      <c r="AJ97" s="78">
        <v>0</v>
      </c>
      <c r="AK97" s="78">
        <v>0</v>
      </c>
      <c r="AL97" s="78">
        <v>0</v>
      </c>
      <c r="AM97" s="78">
        <v>0</v>
      </c>
      <c r="AN97" s="78">
        <v>0</v>
      </c>
      <c r="AO97" s="78">
        <v>0</v>
      </c>
      <c r="AP97" s="78">
        <v>0</v>
      </c>
      <c r="AQ97" s="78">
        <v>0</v>
      </c>
      <c r="AR97" s="78">
        <v>0</v>
      </c>
      <c r="AS97" s="78">
        <v>1968</v>
      </c>
      <c r="AT97" s="78">
        <v>0</v>
      </c>
      <c r="AU97" s="78">
        <v>-3444</v>
      </c>
      <c r="AV97" s="78">
        <v>144</v>
      </c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</row>
    <row r="98" spans="1:70" ht="12.75">
      <c r="A98" s="75">
        <v>746</v>
      </c>
      <c r="B98" s="77" t="s">
        <v>73</v>
      </c>
      <c r="C98" s="78">
        <v>-8028</v>
      </c>
      <c r="D98" s="78">
        <v>0</v>
      </c>
      <c r="E98" s="78">
        <v>0</v>
      </c>
      <c r="F98" s="78">
        <v>7272</v>
      </c>
      <c r="G98" s="78">
        <v>0</v>
      </c>
      <c r="H98" s="78">
        <v>-3828</v>
      </c>
      <c r="I98" s="78">
        <v>-383844</v>
      </c>
      <c r="J98" s="78">
        <v>0</v>
      </c>
      <c r="K98" s="78">
        <v>-2136</v>
      </c>
      <c r="L98" s="78">
        <v>-14664</v>
      </c>
      <c r="M98" s="78">
        <v>18840</v>
      </c>
      <c r="N98" s="78">
        <v>-28812</v>
      </c>
      <c r="O98" s="78">
        <v>17604</v>
      </c>
      <c r="P98" s="78">
        <v>912</v>
      </c>
      <c r="Q98" s="78">
        <v>7248</v>
      </c>
      <c r="R98" s="78">
        <v>9708</v>
      </c>
      <c r="S98" s="78">
        <v>10164</v>
      </c>
      <c r="T98" s="78">
        <v>972</v>
      </c>
      <c r="U98" s="78">
        <v>8100</v>
      </c>
      <c r="V98" s="78">
        <v>32520</v>
      </c>
      <c r="W98" s="78">
        <v>10836</v>
      </c>
      <c r="X98" s="78">
        <v>947340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  <c r="AD98" s="78">
        <v>0</v>
      </c>
      <c r="AE98" s="78">
        <v>0</v>
      </c>
      <c r="AF98" s="78">
        <v>0</v>
      </c>
      <c r="AG98" s="78">
        <v>0</v>
      </c>
      <c r="AH98" s="78">
        <v>0</v>
      </c>
      <c r="AI98" s="78">
        <v>0</v>
      </c>
      <c r="AJ98" s="78">
        <v>0</v>
      </c>
      <c r="AK98" s="78">
        <v>0</v>
      </c>
      <c r="AL98" s="78">
        <v>0</v>
      </c>
      <c r="AM98" s="78">
        <v>0</v>
      </c>
      <c r="AN98" s="78">
        <v>0</v>
      </c>
      <c r="AO98" s="78">
        <v>0</v>
      </c>
      <c r="AP98" s="78">
        <v>0</v>
      </c>
      <c r="AQ98" s="78">
        <v>0</v>
      </c>
      <c r="AR98" s="78">
        <v>0</v>
      </c>
      <c r="AS98" s="78">
        <v>16260</v>
      </c>
      <c r="AT98" s="78">
        <v>3336</v>
      </c>
      <c r="AU98" s="78">
        <v>30408</v>
      </c>
      <c r="AV98" s="78">
        <v>2508</v>
      </c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</row>
    <row r="99" spans="1:70" ht="12.75">
      <c r="A99" s="75">
        <v>751</v>
      </c>
      <c r="B99" s="77" t="s">
        <v>74</v>
      </c>
      <c r="C99" s="78">
        <v>138312</v>
      </c>
      <c r="D99" s="78">
        <v>0</v>
      </c>
      <c r="E99" s="78">
        <v>0</v>
      </c>
      <c r="F99" s="78">
        <v>40632</v>
      </c>
      <c r="G99" s="78">
        <v>0</v>
      </c>
      <c r="H99" s="78">
        <v>-21348</v>
      </c>
      <c r="I99" s="78">
        <v>-1347072</v>
      </c>
      <c r="J99" s="78">
        <v>0</v>
      </c>
      <c r="K99" s="78">
        <v>-11952</v>
      </c>
      <c r="L99" s="78">
        <v>-81684</v>
      </c>
      <c r="M99" s="78">
        <v>192696</v>
      </c>
      <c r="N99" s="78">
        <v>-160848</v>
      </c>
      <c r="O99" s="78">
        <v>49044</v>
      </c>
      <c r="P99" s="78">
        <v>-8964</v>
      </c>
      <c r="Q99" s="78">
        <v>33852</v>
      </c>
      <c r="R99" s="78">
        <v>45372</v>
      </c>
      <c r="S99" s="78">
        <v>47520</v>
      </c>
      <c r="T99" s="78">
        <v>4536</v>
      </c>
      <c r="U99" s="78">
        <v>37488</v>
      </c>
      <c r="V99" s="78">
        <v>181548</v>
      </c>
      <c r="W99" s="78">
        <v>60516</v>
      </c>
      <c r="X99" s="78">
        <v>5288124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  <c r="AD99" s="78">
        <v>15240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12180</v>
      </c>
      <c r="AO99" s="78">
        <v>0</v>
      </c>
      <c r="AP99" s="78">
        <v>0</v>
      </c>
      <c r="AQ99" s="78">
        <v>0</v>
      </c>
      <c r="AR99" s="78">
        <v>0</v>
      </c>
      <c r="AS99" s="78">
        <v>90768</v>
      </c>
      <c r="AT99" s="78">
        <v>0</v>
      </c>
      <c r="AU99" s="78">
        <v>10440</v>
      </c>
      <c r="AV99" s="78">
        <v>13980</v>
      </c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</row>
    <row r="100" spans="1:70" ht="12.75">
      <c r="A100" s="75">
        <v>756</v>
      </c>
      <c r="B100" s="77" t="s">
        <v>119</v>
      </c>
      <c r="C100" s="78">
        <v>195900</v>
      </c>
      <c r="D100" s="78">
        <v>11196</v>
      </c>
      <c r="E100" s="78">
        <v>0</v>
      </c>
      <c r="F100" s="78">
        <v>4764</v>
      </c>
      <c r="G100" s="78">
        <v>0</v>
      </c>
      <c r="H100" s="78">
        <v>-2508</v>
      </c>
      <c r="I100" s="78">
        <v>-21132</v>
      </c>
      <c r="J100" s="78">
        <v>0</v>
      </c>
      <c r="K100" s="78">
        <v>-1404</v>
      </c>
      <c r="L100" s="78">
        <v>-9684</v>
      </c>
      <c r="M100" s="78">
        <v>18780</v>
      </c>
      <c r="N100" s="78">
        <v>-18852</v>
      </c>
      <c r="O100" s="78">
        <v>-40308</v>
      </c>
      <c r="P100" s="78">
        <v>600</v>
      </c>
      <c r="Q100" s="78">
        <v>5604</v>
      </c>
      <c r="R100" s="78">
        <v>7500</v>
      </c>
      <c r="S100" s="78">
        <v>7860</v>
      </c>
      <c r="T100" s="78">
        <v>756</v>
      </c>
      <c r="U100" s="78">
        <v>4080</v>
      </c>
      <c r="V100" s="78">
        <v>21276</v>
      </c>
      <c r="W100" s="78">
        <v>7092</v>
      </c>
      <c r="X100" s="78">
        <v>619716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78">
        <v>0</v>
      </c>
      <c r="AE100" s="78">
        <v>0</v>
      </c>
      <c r="AF100" s="78">
        <v>0</v>
      </c>
      <c r="AG100" s="78">
        <v>0</v>
      </c>
      <c r="AH100" s="78">
        <v>0</v>
      </c>
      <c r="AI100" s="78">
        <v>0</v>
      </c>
      <c r="AJ100" s="78">
        <v>0</v>
      </c>
      <c r="AK100" s="78">
        <v>0</v>
      </c>
      <c r="AL100" s="78">
        <v>0</v>
      </c>
      <c r="AM100" s="78">
        <v>0</v>
      </c>
      <c r="AN100" s="78">
        <v>0</v>
      </c>
      <c r="AO100" s="78">
        <v>0</v>
      </c>
      <c r="AP100" s="78">
        <v>0</v>
      </c>
      <c r="AQ100" s="78">
        <v>0</v>
      </c>
      <c r="AR100" s="78">
        <v>0</v>
      </c>
      <c r="AS100" s="78">
        <v>38232</v>
      </c>
      <c r="AT100" s="78">
        <v>0</v>
      </c>
      <c r="AU100" s="78">
        <v>-3024</v>
      </c>
      <c r="AV100" s="78">
        <v>1644</v>
      </c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</row>
    <row r="101" spans="1:70" ht="12.75">
      <c r="A101" s="75">
        <v>760</v>
      </c>
      <c r="B101" s="77" t="s">
        <v>120</v>
      </c>
      <c r="C101" s="78">
        <v>153492</v>
      </c>
      <c r="D101" s="78">
        <v>0</v>
      </c>
      <c r="E101" s="78">
        <v>0</v>
      </c>
      <c r="F101" s="78">
        <v>6480</v>
      </c>
      <c r="G101" s="78">
        <v>0</v>
      </c>
      <c r="H101" s="78">
        <v>-3408</v>
      </c>
      <c r="I101" s="78">
        <v>-8424</v>
      </c>
      <c r="J101" s="78">
        <v>0</v>
      </c>
      <c r="K101" s="78">
        <v>-1908</v>
      </c>
      <c r="L101" s="78">
        <v>-13308</v>
      </c>
      <c r="M101" s="78">
        <v>21060</v>
      </c>
      <c r="N101" s="78">
        <v>-25668</v>
      </c>
      <c r="O101" s="78">
        <v>2256</v>
      </c>
      <c r="P101" s="78">
        <v>648</v>
      </c>
      <c r="Q101" s="78">
        <v>8688</v>
      </c>
      <c r="R101" s="78">
        <v>11652</v>
      </c>
      <c r="S101" s="78">
        <v>12204</v>
      </c>
      <c r="T101" s="78">
        <v>1164</v>
      </c>
      <c r="U101" s="78">
        <v>5304</v>
      </c>
      <c r="V101" s="78">
        <v>28968</v>
      </c>
      <c r="W101" s="78">
        <v>9660</v>
      </c>
      <c r="X101" s="78">
        <v>843732</v>
      </c>
      <c r="Y101" s="78">
        <v>24504</v>
      </c>
      <c r="Z101" s="78">
        <v>0</v>
      </c>
      <c r="AA101" s="78">
        <v>0</v>
      </c>
      <c r="AB101" s="78">
        <v>0</v>
      </c>
      <c r="AC101" s="78">
        <v>0</v>
      </c>
      <c r="AD101" s="78">
        <v>0</v>
      </c>
      <c r="AE101" s="78">
        <v>0</v>
      </c>
      <c r="AF101" s="78">
        <v>0</v>
      </c>
      <c r="AG101" s="78">
        <v>0</v>
      </c>
      <c r="AH101" s="78">
        <v>0</v>
      </c>
      <c r="AI101" s="78">
        <v>0</v>
      </c>
      <c r="AJ101" s="78">
        <v>0</v>
      </c>
      <c r="AK101" s="78">
        <v>0</v>
      </c>
      <c r="AL101" s="78">
        <v>0</v>
      </c>
      <c r="AM101" s="78">
        <v>0</v>
      </c>
      <c r="AN101" s="78">
        <v>0</v>
      </c>
      <c r="AO101" s="78">
        <v>0</v>
      </c>
      <c r="AP101" s="78">
        <v>0</v>
      </c>
      <c r="AQ101" s="78">
        <v>0</v>
      </c>
      <c r="AR101" s="78">
        <v>0</v>
      </c>
      <c r="AS101" s="78">
        <v>52056</v>
      </c>
      <c r="AT101" s="78">
        <v>0</v>
      </c>
      <c r="AU101" s="78">
        <v>-444</v>
      </c>
      <c r="AV101" s="78">
        <v>2232</v>
      </c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</row>
    <row r="102" spans="1:70" ht="12.75">
      <c r="A102" s="75">
        <v>766</v>
      </c>
      <c r="B102" s="77" t="s">
        <v>61</v>
      </c>
      <c r="C102" s="78">
        <v>117300</v>
      </c>
      <c r="D102" s="78">
        <v>0</v>
      </c>
      <c r="E102" s="78">
        <v>0</v>
      </c>
      <c r="F102" s="78">
        <v>5364</v>
      </c>
      <c r="G102" s="78">
        <v>0</v>
      </c>
      <c r="H102" s="78">
        <v>-2820</v>
      </c>
      <c r="I102" s="78">
        <v>-136032</v>
      </c>
      <c r="J102" s="78">
        <v>0</v>
      </c>
      <c r="K102" s="78">
        <v>-1584</v>
      </c>
      <c r="L102" s="78">
        <v>-10944</v>
      </c>
      <c r="M102" s="78">
        <v>13248</v>
      </c>
      <c r="N102" s="78">
        <v>-21264</v>
      </c>
      <c r="O102" s="78">
        <v>4740</v>
      </c>
      <c r="P102" s="78">
        <v>588</v>
      </c>
      <c r="Q102" s="78">
        <v>6456</v>
      </c>
      <c r="R102" s="78">
        <v>8652</v>
      </c>
      <c r="S102" s="78">
        <v>9060</v>
      </c>
      <c r="T102" s="78">
        <v>864</v>
      </c>
      <c r="U102" s="78">
        <v>4380</v>
      </c>
      <c r="V102" s="78">
        <v>23988</v>
      </c>
      <c r="W102" s="78">
        <v>8004</v>
      </c>
      <c r="X102" s="78">
        <v>698928</v>
      </c>
      <c r="Y102" s="78">
        <v>0</v>
      </c>
      <c r="Z102" s="78">
        <v>0</v>
      </c>
      <c r="AA102" s="78">
        <v>0</v>
      </c>
      <c r="AB102" s="78">
        <v>0</v>
      </c>
      <c r="AC102" s="78">
        <v>0</v>
      </c>
      <c r="AD102" s="78">
        <v>0</v>
      </c>
      <c r="AE102" s="78">
        <v>2808</v>
      </c>
      <c r="AF102" s="78">
        <v>0</v>
      </c>
      <c r="AG102" s="78">
        <v>144</v>
      </c>
      <c r="AH102" s="78">
        <v>564</v>
      </c>
      <c r="AI102" s="78">
        <v>0</v>
      </c>
      <c r="AJ102" s="78">
        <v>0</v>
      </c>
      <c r="AK102" s="78">
        <v>0</v>
      </c>
      <c r="AL102" s="78">
        <v>0</v>
      </c>
      <c r="AM102" s="78">
        <v>0</v>
      </c>
      <c r="AN102" s="78">
        <v>0</v>
      </c>
      <c r="AO102" s="78">
        <v>0</v>
      </c>
      <c r="AP102" s="78">
        <v>0</v>
      </c>
      <c r="AQ102" s="78">
        <v>0</v>
      </c>
      <c r="AR102" s="78">
        <v>0</v>
      </c>
      <c r="AS102" s="78">
        <v>25164</v>
      </c>
      <c r="AT102" s="78">
        <v>3696</v>
      </c>
      <c r="AU102" s="78">
        <v>0</v>
      </c>
      <c r="AV102" s="78">
        <v>1848</v>
      </c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</row>
    <row r="103" spans="1:70" ht="12.75">
      <c r="A103" s="75">
        <v>773</v>
      </c>
      <c r="B103" s="77" t="s">
        <v>75</v>
      </c>
      <c r="C103" s="78">
        <v>126432</v>
      </c>
      <c r="D103" s="78">
        <v>13740</v>
      </c>
      <c r="E103" s="78">
        <v>0</v>
      </c>
      <c r="F103" s="78">
        <v>2316</v>
      </c>
      <c r="G103" s="78">
        <v>0</v>
      </c>
      <c r="H103" s="78">
        <v>-1212</v>
      </c>
      <c r="I103" s="78">
        <v>124644</v>
      </c>
      <c r="J103" s="78">
        <v>2676</v>
      </c>
      <c r="K103" s="78">
        <v>-684</v>
      </c>
      <c r="L103" s="78">
        <v>23148</v>
      </c>
      <c r="M103" s="78">
        <v>6912</v>
      </c>
      <c r="N103" s="78">
        <v>-9168</v>
      </c>
      <c r="O103" s="78">
        <v>3732</v>
      </c>
      <c r="P103" s="78">
        <v>288</v>
      </c>
      <c r="Q103" s="78">
        <v>3624</v>
      </c>
      <c r="R103" s="78">
        <v>4848</v>
      </c>
      <c r="S103" s="78">
        <v>5076</v>
      </c>
      <c r="T103" s="78">
        <v>480</v>
      </c>
      <c r="U103" s="78">
        <v>1692</v>
      </c>
      <c r="V103" s="78">
        <v>10356</v>
      </c>
      <c r="W103" s="78">
        <v>3456</v>
      </c>
      <c r="X103" s="78">
        <v>301572</v>
      </c>
      <c r="Y103" s="78">
        <v>26268</v>
      </c>
      <c r="Z103" s="78">
        <v>0</v>
      </c>
      <c r="AA103" s="78">
        <v>0</v>
      </c>
      <c r="AB103" s="78">
        <v>0</v>
      </c>
      <c r="AC103" s="78">
        <v>0</v>
      </c>
      <c r="AD103" s="78">
        <v>0</v>
      </c>
      <c r="AE103" s="78">
        <v>0</v>
      </c>
      <c r="AF103" s="78">
        <v>0</v>
      </c>
      <c r="AG103" s="78">
        <v>0</v>
      </c>
      <c r="AH103" s="78">
        <v>0</v>
      </c>
      <c r="AI103" s="78">
        <v>0</v>
      </c>
      <c r="AJ103" s="78">
        <v>7512</v>
      </c>
      <c r="AK103" s="78">
        <v>0</v>
      </c>
      <c r="AL103" s="78">
        <v>0</v>
      </c>
      <c r="AM103" s="78">
        <v>0</v>
      </c>
      <c r="AN103" s="78">
        <v>0</v>
      </c>
      <c r="AO103" s="78">
        <v>0</v>
      </c>
      <c r="AP103" s="78">
        <v>0</v>
      </c>
      <c r="AQ103" s="78">
        <v>0</v>
      </c>
      <c r="AR103" s="78">
        <v>0</v>
      </c>
      <c r="AS103" s="78">
        <v>18600</v>
      </c>
      <c r="AT103" s="78">
        <v>14184</v>
      </c>
      <c r="AU103" s="78">
        <v>-5544</v>
      </c>
      <c r="AV103" s="78">
        <v>792</v>
      </c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</row>
    <row r="104" spans="1:70" ht="12.75">
      <c r="A104" s="75">
        <v>779</v>
      </c>
      <c r="B104" s="77" t="s">
        <v>76</v>
      </c>
      <c r="C104" s="78">
        <v>204144</v>
      </c>
      <c r="D104" s="78">
        <v>9252</v>
      </c>
      <c r="E104" s="78">
        <v>0</v>
      </c>
      <c r="F104" s="78">
        <v>5244</v>
      </c>
      <c r="G104" s="78">
        <v>0</v>
      </c>
      <c r="H104" s="78">
        <v>-2760</v>
      </c>
      <c r="I104" s="78">
        <v>114180</v>
      </c>
      <c r="J104" s="78">
        <v>2460</v>
      </c>
      <c r="K104" s="78">
        <v>-1548</v>
      </c>
      <c r="L104" s="78">
        <v>18384</v>
      </c>
      <c r="M104" s="78">
        <v>14868</v>
      </c>
      <c r="N104" s="78">
        <v>-20760</v>
      </c>
      <c r="O104" s="78">
        <v>15144</v>
      </c>
      <c r="P104" s="78">
        <v>492</v>
      </c>
      <c r="Q104" s="78">
        <v>7452</v>
      </c>
      <c r="R104" s="78">
        <v>9984</v>
      </c>
      <c r="S104" s="78">
        <v>10464</v>
      </c>
      <c r="T104" s="78">
        <v>996</v>
      </c>
      <c r="U104" s="78">
        <v>3756</v>
      </c>
      <c r="V104" s="78">
        <v>23424</v>
      </c>
      <c r="W104" s="78">
        <v>7812</v>
      </c>
      <c r="X104" s="78">
        <v>682380</v>
      </c>
      <c r="Y104" s="78">
        <v>59448</v>
      </c>
      <c r="Z104" s="78">
        <v>0</v>
      </c>
      <c r="AA104" s="78">
        <v>0</v>
      </c>
      <c r="AB104" s="78">
        <v>0</v>
      </c>
      <c r="AC104" s="78">
        <v>0</v>
      </c>
      <c r="AD104" s="78">
        <v>0</v>
      </c>
      <c r="AE104" s="78">
        <v>7140</v>
      </c>
      <c r="AF104" s="78">
        <v>0</v>
      </c>
      <c r="AG104" s="78">
        <v>936</v>
      </c>
      <c r="AH104" s="78">
        <v>1740</v>
      </c>
      <c r="AI104" s="78">
        <v>0</v>
      </c>
      <c r="AJ104" s="78">
        <v>17004</v>
      </c>
      <c r="AK104" s="78">
        <v>0</v>
      </c>
      <c r="AL104" s="78">
        <v>0</v>
      </c>
      <c r="AM104" s="78">
        <v>0</v>
      </c>
      <c r="AN104" s="78">
        <v>0</v>
      </c>
      <c r="AO104" s="78">
        <v>0</v>
      </c>
      <c r="AP104" s="78">
        <v>0</v>
      </c>
      <c r="AQ104" s="78">
        <v>0</v>
      </c>
      <c r="AR104" s="78">
        <v>0</v>
      </c>
      <c r="AS104" s="78">
        <v>42096</v>
      </c>
      <c r="AT104" s="78">
        <v>14340</v>
      </c>
      <c r="AU104" s="78">
        <v>-10764</v>
      </c>
      <c r="AV104" s="78">
        <v>1800</v>
      </c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</row>
    <row r="105" spans="1:70" ht="12.75">
      <c r="A105" s="75">
        <v>787</v>
      </c>
      <c r="B105" s="77" t="s">
        <v>77</v>
      </c>
      <c r="C105" s="78">
        <v>228132</v>
      </c>
      <c r="D105" s="78">
        <v>17964</v>
      </c>
      <c r="E105" s="78">
        <v>0</v>
      </c>
      <c r="F105" s="78">
        <v>4968</v>
      </c>
      <c r="G105" s="78">
        <v>0</v>
      </c>
      <c r="H105" s="78">
        <v>-2616</v>
      </c>
      <c r="I105" s="78">
        <v>117060</v>
      </c>
      <c r="J105" s="78">
        <v>2520</v>
      </c>
      <c r="K105" s="78">
        <v>-1464</v>
      </c>
      <c r="L105" s="78">
        <v>-10188</v>
      </c>
      <c r="M105" s="78">
        <v>14928</v>
      </c>
      <c r="N105" s="78">
        <v>-19692</v>
      </c>
      <c r="O105" s="78">
        <v>9420</v>
      </c>
      <c r="P105" s="78">
        <v>468</v>
      </c>
      <c r="Q105" s="78">
        <v>6888</v>
      </c>
      <c r="R105" s="78">
        <v>9240</v>
      </c>
      <c r="S105" s="78">
        <v>9672</v>
      </c>
      <c r="T105" s="78">
        <v>924</v>
      </c>
      <c r="U105" s="78">
        <v>4092</v>
      </c>
      <c r="V105" s="78">
        <v>22224</v>
      </c>
      <c r="W105" s="78">
        <v>7404</v>
      </c>
      <c r="X105" s="78">
        <v>647280</v>
      </c>
      <c r="Y105" s="78">
        <v>37596</v>
      </c>
      <c r="Z105" s="78">
        <v>0</v>
      </c>
      <c r="AA105" s="78">
        <v>0</v>
      </c>
      <c r="AB105" s="78">
        <v>0</v>
      </c>
      <c r="AC105" s="78">
        <v>0</v>
      </c>
      <c r="AD105" s="78">
        <v>0</v>
      </c>
      <c r="AE105" s="78">
        <v>0</v>
      </c>
      <c r="AF105" s="78">
        <v>0</v>
      </c>
      <c r="AG105" s="78">
        <v>0</v>
      </c>
      <c r="AH105" s="78">
        <v>0</v>
      </c>
      <c r="AI105" s="78">
        <v>0</v>
      </c>
      <c r="AJ105" s="78">
        <v>16128</v>
      </c>
      <c r="AK105" s="78">
        <v>0</v>
      </c>
      <c r="AL105" s="78">
        <v>0</v>
      </c>
      <c r="AM105" s="78">
        <v>0</v>
      </c>
      <c r="AN105" s="78">
        <v>0</v>
      </c>
      <c r="AO105" s="78">
        <v>0</v>
      </c>
      <c r="AP105" s="78">
        <v>0</v>
      </c>
      <c r="AQ105" s="78">
        <v>0</v>
      </c>
      <c r="AR105" s="78">
        <v>0</v>
      </c>
      <c r="AS105" s="78">
        <v>39936</v>
      </c>
      <c r="AT105" s="78">
        <v>6588</v>
      </c>
      <c r="AU105" s="78">
        <v>0</v>
      </c>
      <c r="AV105" s="78">
        <v>1716</v>
      </c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</row>
    <row r="106" spans="1:70" ht="12.75">
      <c r="A106" s="75">
        <v>791</v>
      </c>
      <c r="B106" s="77" t="s">
        <v>78</v>
      </c>
      <c r="C106" s="78">
        <v>309084</v>
      </c>
      <c r="D106" s="78">
        <v>0</v>
      </c>
      <c r="E106" s="78">
        <v>0</v>
      </c>
      <c r="F106" s="78">
        <v>11160</v>
      </c>
      <c r="G106" s="78">
        <v>0</v>
      </c>
      <c r="H106" s="78">
        <v>-5868</v>
      </c>
      <c r="I106" s="78">
        <v>-58716</v>
      </c>
      <c r="J106" s="78">
        <v>0</v>
      </c>
      <c r="K106" s="78">
        <v>-3288</v>
      </c>
      <c r="L106" s="78">
        <v>-22824</v>
      </c>
      <c r="M106" s="78">
        <v>37428</v>
      </c>
      <c r="N106" s="78">
        <v>-44172</v>
      </c>
      <c r="O106" s="78">
        <v>28824</v>
      </c>
      <c r="P106" s="78">
        <v>-480</v>
      </c>
      <c r="Q106" s="78">
        <v>13260</v>
      </c>
      <c r="R106" s="78">
        <v>17760</v>
      </c>
      <c r="S106" s="78">
        <v>18600</v>
      </c>
      <c r="T106" s="78">
        <v>1776</v>
      </c>
      <c r="U106" s="78">
        <v>9432</v>
      </c>
      <c r="V106" s="78">
        <v>49848</v>
      </c>
      <c r="W106" s="78">
        <v>16620</v>
      </c>
      <c r="X106" s="78">
        <v>1452120</v>
      </c>
      <c r="Y106" s="78">
        <v>0</v>
      </c>
      <c r="Z106" s="78">
        <v>0</v>
      </c>
      <c r="AA106" s="78">
        <v>0</v>
      </c>
      <c r="AB106" s="78">
        <v>0</v>
      </c>
      <c r="AC106" s="78">
        <v>0</v>
      </c>
      <c r="AD106" s="78">
        <v>0</v>
      </c>
      <c r="AE106" s="78">
        <v>0</v>
      </c>
      <c r="AF106" s="78">
        <v>0</v>
      </c>
      <c r="AG106" s="78">
        <v>0</v>
      </c>
      <c r="AH106" s="78">
        <v>0</v>
      </c>
      <c r="AI106" s="78">
        <v>0</v>
      </c>
      <c r="AJ106" s="78">
        <v>0</v>
      </c>
      <c r="AK106" s="78">
        <v>0</v>
      </c>
      <c r="AL106" s="78">
        <v>0</v>
      </c>
      <c r="AM106" s="78">
        <v>0</v>
      </c>
      <c r="AN106" s="78">
        <v>0</v>
      </c>
      <c r="AO106" s="78">
        <v>0</v>
      </c>
      <c r="AP106" s="78">
        <v>0</v>
      </c>
      <c r="AQ106" s="78">
        <v>0</v>
      </c>
      <c r="AR106" s="78">
        <v>0</v>
      </c>
      <c r="AS106" s="78">
        <v>89592</v>
      </c>
      <c r="AT106" s="78">
        <v>9060</v>
      </c>
      <c r="AU106" s="78">
        <v>-6972</v>
      </c>
      <c r="AV106" s="78">
        <v>3840</v>
      </c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</row>
    <row r="107" spans="1:70" ht="12.75">
      <c r="A107" s="75">
        <v>810</v>
      </c>
      <c r="B107" s="77" t="s">
        <v>130</v>
      </c>
      <c r="C107" s="78">
        <v>240288</v>
      </c>
      <c r="D107" s="78">
        <v>28092</v>
      </c>
      <c r="E107" s="78">
        <v>0</v>
      </c>
      <c r="F107" s="78">
        <v>4176</v>
      </c>
      <c r="G107" s="78">
        <v>0</v>
      </c>
      <c r="H107" s="78">
        <v>-2196</v>
      </c>
      <c r="I107" s="78">
        <v>43872</v>
      </c>
      <c r="J107" s="78">
        <v>948</v>
      </c>
      <c r="K107" s="78">
        <v>-1224</v>
      </c>
      <c r="L107" s="78">
        <v>-8532</v>
      </c>
      <c r="M107" s="78">
        <v>12996</v>
      </c>
      <c r="N107" s="78">
        <v>-16524</v>
      </c>
      <c r="O107" s="78">
        <v>16740</v>
      </c>
      <c r="P107" s="78">
        <v>360</v>
      </c>
      <c r="Q107" s="78">
        <v>5532</v>
      </c>
      <c r="R107" s="78">
        <v>7404</v>
      </c>
      <c r="S107" s="78">
        <v>7764</v>
      </c>
      <c r="T107" s="78">
        <v>744</v>
      </c>
      <c r="U107" s="78">
        <v>3732</v>
      </c>
      <c r="V107" s="78">
        <v>18660</v>
      </c>
      <c r="W107" s="78">
        <v>6216</v>
      </c>
      <c r="X107" s="78">
        <v>543432</v>
      </c>
      <c r="Y107" s="78">
        <v>47340</v>
      </c>
      <c r="Z107" s="78">
        <v>0</v>
      </c>
      <c r="AA107" s="78">
        <v>0</v>
      </c>
      <c r="AB107" s="78">
        <v>0</v>
      </c>
      <c r="AC107" s="78">
        <v>0</v>
      </c>
      <c r="AD107" s="78">
        <v>0</v>
      </c>
      <c r="AE107" s="78">
        <v>0</v>
      </c>
      <c r="AF107" s="78">
        <v>0</v>
      </c>
      <c r="AG107" s="78">
        <v>0</v>
      </c>
      <c r="AH107" s="78">
        <v>0</v>
      </c>
      <c r="AI107" s="78">
        <v>0</v>
      </c>
      <c r="AJ107" s="78">
        <v>0</v>
      </c>
      <c r="AK107" s="78">
        <v>0</v>
      </c>
      <c r="AL107" s="78">
        <v>0</v>
      </c>
      <c r="AM107" s="78">
        <v>0</v>
      </c>
      <c r="AN107" s="78">
        <v>0</v>
      </c>
      <c r="AO107" s="78">
        <v>0</v>
      </c>
      <c r="AP107" s="78">
        <v>0</v>
      </c>
      <c r="AQ107" s="78">
        <v>0</v>
      </c>
      <c r="AR107" s="78">
        <v>0</v>
      </c>
      <c r="AS107" s="78">
        <v>33528</v>
      </c>
      <c r="AT107" s="78">
        <v>12336</v>
      </c>
      <c r="AU107" s="78">
        <v>-37404</v>
      </c>
      <c r="AV107" s="78">
        <v>1440</v>
      </c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</row>
    <row r="108" spans="1:70" ht="12.75">
      <c r="A108" s="75">
        <v>813</v>
      </c>
      <c r="B108" s="77" t="s">
        <v>79</v>
      </c>
      <c r="C108" s="78">
        <v>210792</v>
      </c>
      <c r="D108" s="78">
        <v>0</v>
      </c>
      <c r="E108" s="78">
        <v>0</v>
      </c>
      <c r="F108" s="78">
        <v>6840</v>
      </c>
      <c r="G108" s="78">
        <v>0</v>
      </c>
      <c r="H108" s="78">
        <v>-3588</v>
      </c>
      <c r="I108" s="78">
        <v>185208</v>
      </c>
      <c r="J108" s="78">
        <v>3984</v>
      </c>
      <c r="K108" s="78">
        <v>-2016</v>
      </c>
      <c r="L108" s="78">
        <v>24468</v>
      </c>
      <c r="M108" s="78">
        <v>18504</v>
      </c>
      <c r="N108" s="78">
        <v>-27060</v>
      </c>
      <c r="O108" s="78">
        <v>20040</v>
      </c>
      <c r="P108" s="78">
        <v>516</v>
      </c>
      <c r="Q108" s="78">
        <v>10692</v>
      </c>
      <c r="R108" s="78">
        <v>14328</v>
      </c>
      <c r="S108" s="78">
        <v>15000</v>
      </c>
      <c r="T108" s="78">
        <v>1428</v>
      </c>
      <c r="U108" s="78">
        <v>4764</v>
      </c>
      <c r="V108" s="78">
        <v>30540</v>
      </c>
      <c r="W108" s="78">
        <v>10176</v>
      </c>
      <c r="X108" s="78">
        <v>889668</v>
      </c>
      <c r="Y108" s="78">
        <v>77508</v>
      </c>
      <c r="Z108" s="78">
        <v>0</v>
      </c>
      <c r="AA108" s="78">
        <v>0</v>
      </c>
      <c r="AB108" s="78">
        <v>0</v>
      </c>
      <c r="AC108" s="78">
        <v>0</v>
      </c>
      <c r="AD108" s="78">
        <v>0</v>
      </c>
      <c r="AE108" s="78">
        <v>0</v>
      </c>
      <c r="AF108" s="78">
        <v>0</v>
      </c>
      <c r="AG108" s="78">
        <v>0</v>
      </c>
      <c r="AH108" s="78">
        <v>0</v>
      </c>
      <c r="AI108" s="78">
        <v>0</v>
      </c>
      <c r="AJ108" s="78">
        <v>22176</v>
      </c>
      <c r="AK108" s="78">
        <v>0</v>
      </c>
      <c r="AL108" s="78">
        <v>0</v>
      </c>
      <c r="AM108" s="78">
        <v>0</v>
      </c>
      <c r="AN108" s="78">
        <v>0</v>
      </c>
      <c r="AO108" s="78">
        <v>0</v>
      </c>
      <c r="AP108" s="78">
        <v>0</v>
      </c>
      <c r="AQ108" s="78">
        <v>0</v>
      </c>
      <c r="AR108" s="78">
        <v>0</v>
      </c>
      <c r="AS108" s="78">
        <v>54888</v>
      </c>
      <c r="AT108" s="78">
        <v>6348</v>
      </c>
      <c r="AU108" s="78">
        <v>-15108</v>
      </c>
      <c r="AV108" s="78">
        <v>2352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</row>
    <row r="109" spans="1:70" ht="12.75">
      <c r="A109" s="75">
        <v>820</v>
      </c>
      <c r="B109" s="77" t="s">
        <v>121</v>
      </c>
      <c r="C109" s="78">
        <v>223620</v>
      </c>
      <c r="D109" s="78">
        <v>23388</v>
      </c>
      <c r="E109" s="78">
        <v>0</v>
      </c>
      <c r="F109" s="78">
        <v>4200</v>
      </c>
      <c r="G109" s="78">
        <v>0</v>
      </c>
      <c r="H109" s="78">
        <v>-2208</v>
      </c>
      <c r="I109" s="78">
        <v>144204</v>
      </c>
      <c r="J109" s="78">
        <v>3096</v>
      </c>
      <c r="K109" s="78">
        <v>-1236</v>
      </c>
      <c r="L109" s="78">
        <v>-8664</v>
      </c>
      <c r="M109" s="78">
        <v>12816</v>
      </c>
      <c r="N109" s="78">
        <v>-16644</v>
      </c>
      <c r="O109" s="78">
        <v>14424</v>
      </c>
      <c r="P109" s="78">
        <v>564</v>
      </c>
      <c r="Q109" s="78">
        <v>5928</v>
      </c>
      <c r="R109" s="78">
        <v>7932</v>
      </c>
      <c r="S109" s="78">
        <v>8316</v>
      </c>
      <c r="T109" s="78">
        <v>792</v>
      </c>
      <c r="U109" s="78">
        <v>3228</v>
      </c>
      <c r="V109" s="78">
        <v>18792</v>
      </c>
      <c r="W109" s="78">
        <v>6264</v>
      </c>
      <c r="X109" s="78">
        <v>547392</v>
      </c>
      <c r="Y109" s="78">
        <v>47688</v>
      </c>
      <c r="Z109" s="78">
        <v>0</v>
      </c>
      <c r="AA109" s="78">
        <v>0</v>
      </c>
      <c r="AB109" s="78">
        <v>0</v>
      </c>
      <c r="AC109" s="78">
        <v>0</v>
      </c>
      <c r="AD109" s="78">
        <v>0</v>
      </c>
      <c r="AE109" s="78">
        <v>0</v>
      </c>
      <c r="AF109" s="78">
        <v>0</v>
      </c>
      <c r="AG109" s="78">
        <v>0</v>
      </c>
      <c r="AH109" s="78">
        <v>0</v>
      </c>
      <c r="AI109" s="78">
        <v>0</v>
      </c>
      <c r="AJ109" s="78">
        <v>13644</v>
      </c>
      <c r="AK109" s="78">
        <v>0</v>
      </c>
      <c r="AL109" s="78">
        <v>0</v>
      </c>
      <c r="AM109" s="78">
        <v>0</v>
      </c>
      <c r="AN109" s="78">
        <v>0</v>
      </c>
      <c r="AO109" s="78">
        <v>0</v>
      </c>
      <c r="AP109" s="78">
        <v>0</v>
      </c>
      <c r="AQ109" s="78">
        <v>0</v>
      </c>
      <c r="AR109" s="78">
        <v>0</v>
      </c>
      <c r="AS109" s="78">
        <v>33768</v>
      </c>
      <c r="AT109" s="78">
        <v>288</v>
      </c>
      <c r="AU109" s="78">
        <v>-65292</v>
      </c>
      <c r="AV109" s="78">
        <v>1452</v>
      </c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</row>
    <row r="110" spans="1:70" ht="12.75">
      <c r="A110" s="75">
        <v>825</v>
      </c>
      <c r="B110" s="77" t="s">
        <v>81</v>
      </c>
      <c r="C110" s="78">
        <v>3780</v>
      </c>
      <c r="D110" s="78">
        <v>0</v>
      </c>
      <c r="E110" s="78">
        <v>0</v>
      </c>
      <c r="F110" s="78">
        <v>204</v>
      </c>
      <c r="G110" s="78">
        <v>0</v>
      </c>
      <c r="H110" s="78">
        <v>-108</v>
      </c>
      <c r="I110" s="78">
        <v>13224</v>
      </c>
      <c r="J110" s="78">
        <v>288</v>
      </c>
      <c r="K110" s="78">
        <v>-60</v>
      </c>
      <c r="L110" s="78">
        <v>204</v>
      </c>
      <c r="M110" s="78">
        <v>132</v>
      </c>
      <c r="N110" s="78">
        <v>-804</v>
      </c>
      <c r="O110" s="78">
        <v>924</v>
      </c>
      <c r="P110" s="78">
        <v>24</v>
      </c>
      <c r="Q110" s="78">
        <v>468</v>
      </c>
      <c r="R110" s="78">
        <v>636</v>
      </c>
      <c r="S110" s="78">
        <v>660</v>
      </c>
      <c r="T110" s="78">
        <v>60</v>
      </c>
      <c r="U110" s="78">
        <v>84</v>
      </c>
      <c r="V110" s="78">
        <v>912</v>
      </c>
      <c r="W110" s="78">
        <v>300</v>
      </c>
      <c r="X110" s="78">
        <v>26508</v>
      </c>
      <c r="Y110" s="78">
        <v>2304</v>
      </c>
      <c r="Z110" s="78">
        <v>0</v>
      </c>
      <c r="AA110" s="78">
        <v>0</v>
      </c>
      <c r="AB110" s="78">
        <v>0</v>
      </c>
      <c r="AC110" s="78">
        <v>0</v>
      </c>
      <c r="AD110" s="78">
        <v>0</v>
      </c>
      <c r="AE110" s="78">
        <v>0</v>
      </c>
      <c r="AF110" s="78">
        <v>46104</v>
      </c>
      <c r="AG110" s="78">
        <v>3048</v>
      </c>
      <c r="AH110" s="78">
        <v>8556</v>
      </c>
      <c r="AI110" s="78">
        <v>0</v>
      </c>
      <c r="AJ110" s="78">
        <v>0</v>
      </c>
      <c r="AK110" s="78">
        <v>0</v>
      </c>
      <c r="AL110" s="78">
        <v>0</v>
      </c>
      <c r="AM110" s="78">
        <v>0</v>
      </c>
      <c r="AN110" s="78">
        <v>0</v>
      </c>
      <c r="AO110" s="78">
        <v>0</v>
      </c>
      <c r="AP110" s="78">
        <v>0</v>
      </c>
      <c r="AQ110" s="78">
        <v>0</v>
      </c>
      <c r="AR110" s="78">
        <v>0</v>
      </c>
      <c r="AS110" s="78">
        <v>960</v>
      </c>
      <c r="AT110" s="78">
        <v>984</v>
      </c>
      <c r="AU110" s="78">
        <v>0</v>
      </c>
      <c r="AV110" s="78">
        <v>72</v>
      </c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</row>
    <row r="111" spans="1:70" ht="12.75">
      <c r="A111" s="75">
        <v>840</v>
      </c>
      <c r="B111" s="77" t="s">
        <v>122</v>
      </c>
      <c r="C111" s="78">
        <v>106680</v>
      </c>
      <c r="D111" s="78">
        <v>0</v>
      </c>
      <c r="E111" s="78">
        <v>0</v>
      </c>
      <c r="F111" s="78">
        <v>3480</v>
      </c>
      <c r="G111" s="78">
        <v>0</v>
      </c>
      <c r="H111" s="78">
        <v>-1836</v>
      </c>
      <c r="I111" s="78">
        <v>-110520</v>
      </c>
      <c r="J111" s="78">
        <v>0</v>
      </c>
      <c r="K111" s="78">
        <v>-1020</v>
      </c>
      <c r="L111" s="78">
        <v>-7056</v>
      </c>
      <c r="M111" s="78">
        <v>8448</v>
      </c>
      <c r="N111" s="78">
        <v>-13788</v>
      </c>
      <c r="O111" s="78">
        <v>12540</v>
      </c>
      <c r="P111" s="78">
        <v>468</v>
      </c>
      <c r="Q111" s="78">
        <v>3924</v>
      </c>
      <c r="R111" s="78">
        <v>5268</v>
      </c>
      <c r="S111" s="78">
        <v>5508</v>
      </c>
      <c r="T111" s="78">
        <v>528</v>
      </c>
      <c r="U111" s="78">
        <v>3600</v>
      </c>
      <c r="V111" s="78">
        <v>15564</v>
      </c>
      <c r="W111" s="78">
        <v>5184</v>
      </c>
      <c r="X111" s="78">
        <v>453396</v>
      </c>
      <c r="Y111" s="78">
        <v>0</v>
      </c>
      <c r="Z111" s="78">
        <v>0</v>
      </c>
      <c r="AA111" s="78">
        <v>0</v>
      </c>
      <c r="AB111" s="78">
        <v>0</v>
      </c>
      <c r="AC111" s="78">
        <v>0</v>
      </c>
      <c r="AD111" s="78">
        <v>0</v>
      </c>
      <c r="AE111" s="78">
        <v>0</v>
      </c>
      <c r="AF111" s="78">
        <v>0</v>
      </c>
      <c r="AG111" s="78">
        <v>0</v>
      </c>
      <c r="AH111" s="78">
        <v>0</v>
      </c>
      <c r="AI111" s="78">
        <v>0</v>
      </c>
      <c r="AJ111" s="78">
        <v>0</v>
      </c>
      <c r="AK111" s="78">
        <v>0</v>
      </c>
      <c r="AL111" s="78">
        <v>0</v>
      </c>
      <c r="AM111" s="78">
        <v>0</v>
      </c>
      <c r="AN111" s="78">
        <v>0</v>
      </c>
      <c r="AO111" s="78">
        <v>0</v>
      </c>
      <c r="AP111" s="78">
        <v>0</v>
      </c>
      <c r="AQ111" s="78">
        <v>0</v>
      </c>
      <c r="AR111" s="78">
        <v>0</v>
      </c>
      <c r="AS111" s="78">
        <v>27972</v>
      </c>
      <c r="AT111" s="78">
        <v>4716</v>
      </c>
      <c r="AU111" s="78">
        <v>-840</v>
      </c>
      <c r="AV111" s="78">
        <v>1200</v>
      </c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</row>
    <row r="112" spans="1:70" ht="12.75">
      <c r="A112" s="75">
        <v>846</v>
      </c>
      <c r="B112" s="77" t="s">
        <v>123</v>
      </c>
      <c r="C112" s="78">
        <v>181548</v>
      </c>
      <c r="D112" s="78">
        <v>7080</v>
      </c>
      <c r="E112" s="78">
        <v>0</v>
      </c>
      <c r="F112" s="78">
        <v>4800</v>
      </c>
      <c r="G112" s="78">
        <v>0</v>
      </c>
      <c r="H112" s="78">
        <v>-2520</v>
      </c>
      <c r="I112" s="78">
        <v>25620</v>
      </c>
      <c r="J112" s="78">
        <v>552</v>
      </c>
      <c r="K112" s="78">
        <v>-1416</v>
      </c>
      <c r="L112" s="78">
        <v>-9840</v>
      </c>
      <c r="M112" s="78">
        <v>13020</v>
      </c>
      <c r="N112" s="78">
        <v>-18984</v>
      </c>
      <c r="O112" s="78">
        <v>10032</v>
      </c>
      <c r="P112" s="78">
        <v>480</v>
      </c>
      <c r="Q112" s="78">
        <v>6456</v>
      </c>
      <c r="R112" s="78">
        <v>8652</v>
      </c>
      <c r="S112" s="78">
        <v>9060</v>
      </c>
      <c r="T112" s="78">
        <v>864</v>
      </c>
      <c r="U112" s="78">
        <v>3600</v>
      </c>
      <c r="V112" s="78">
        <v>21432</v>
      </c>
      <c r="W112" s="78">
        <v>7140</v>
      </c>
      <c r="X112" s="78">
        <v>624192</v>
      </c>
      <c r="Y112" s="78">
        <v>18120</v>
      </c>
      <c r="Z112" s="78">
        <v>0</v>
      </c>
      <c r="AA112" s="78">
        <v>0</v>
      </c>
      <c r="AB112" s="78">
        <v>0</v>
      </c>
      <c r="AC112" s="78">
        <v>0</v>
      </c>
      <c r="AD112" s="78">
        <v>0</v>
      </c>
      <c r="AE112" s="78">
        <v>0</v>
      </c>
      <c r="AF112" s="78">
        <v>0</v>
      </c>
      <c r="AG112" s="78">
        <v>0</v>
      </c>
      <c r="AH112" s="78">
        <v>0</v>
      </c>
      <c r="AI112" s="78">
        <v>0</v>
      </c>
      <c r="AJ112" s="78">
        <v>15564</v>
      </c>
      <c r="AK112" s="78">
        <v>0</v>
      </c>
      <c r="AL112" s="78">
        <v>0</v>
      </c>
      <c r="AM112" s="78">
        <v>0</v>
      </c>
      <c r="AN112" s="78">
        <v>0</v>
      </c>
      <c r="AO112" s="78">
        <v>0</v>
      </c>
      <c r="AP112" s="78">
        <v>-7476</v>
      </c>
      <c r="AQ112" s="78">
        <v>0</v>
      </c>
      <c r="AR112" s="78">
        <v>0</v>
      </c>
      <c r="AS112" s="78">
        <v>38508</v>
      </c>
      <c r="AT112" s="78">
        <v>9432</v>
      </c>
      <c r="AU112" s="78">
        <v>-19404</v>
      </c>
      <c r="AV112" s="78">
        <v>1656</v>
      </c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</row>
    <row r="113" spans="1:70" ht="12.75">
      <c r="A113" s="75">
        <v>849</v>
      </c>
      <c r="B113" s="77" t="s">
        <v>124</v>
      </c>
      <c r="C113" s="78">
        <v>175872</v>
      </c>
      <c r="D113" s="78">
        <v>9000</v>
      </c>
      <c r="E113" s="78">
        <v>0</v>
      </c>
      <c r="F113" s="78">
        <v>4392</v>
      </c>
      <c r="G113" s="78">
        <v>0</v>
      </c>
      <c r="H113" s="78">
        <v>-2316</v>
      </c>
      <c r="I113" s="78">
        <v>4440</v>
      </c>
      <c r="J113" s="78">
        <v>96</v>
      </c>
      <c r="K113" s="78">
        <v>-1296</v>
      </c>
      <c r="L113" s="78">
        <v>-9000</v>
      </c>
      <c r="M113" s="78">
        <v>11136</v>
      </c>
      <c r="N113" s="78">
        <v>-17400</v>
      </c>
      <c r="O113" s="78">
        <v>18864</v>
      </c>
      <c r="P113" s="78">
        <v>540</v>
      </c>
      <c r="Q113" s="78">
        <v>6060</v>
      </c>
      <c r="R113" s="78">
        <v>8112</v>
      </c>
      <c r="S113" s="78">
        <v>8496</v>
      </c>
      <c r="T113" s="78">
        <v>816</v>
      </c>
      <c r="U113" s="78">
        <v>3612</v>
      </c>
      <c r="V113" s="78">
        <v>19644</v>
      </c>
      <c r="W113" s="78">
        <v>6552</v>
      </c>
      <c r="X113" s="78">
        <v>572220</v>
      </c>
      <c r="Y113" s="78">
        <v>33228</v>
      </c>
      <c r="Z113" s="78">
        <v>0</v>
      </c>
      <c r="AA113" s="78">
        <v>0</v>
      </c>
      <c r="AB113" s="78">
        <v>0</v>
      </c>
      <c r="AC113" s="78">
        <v>0</v>
      </c>
      <c r="AD113" s="78">
        <v>0</v>
      </c>
      <c r="AE113" s="78">
        <v>0</v>
      </c>
      <c r="AF113" s="78">
        <v>0</v>
      </c>
      <c r="AG113" s="78">
        <v>0</v>
      </c>
      <c r="AH113" s="78">
        <v>0</v>
      </c>
      <c r="AI113" s="78">
        <v>0</v>
      </c>
      <c r="AJ113" s="78">
        <v>14268</v>
      </c>
      <c r="AK113" s="78">
        <v>0</v>
      </c>
      <c r="AL113" s="78">
        <v>0</v>
      </c>
      <c r="AM113" s="78">
        <v>0</v>
      </c>
      <c r="AN113" s="78">
        <v>0</v>
      </c>
      <c r="AO113" s="78">
        <v>0</v>
      </c>
      <c r="AP113" s="78">
        <v>0</v>
      </c>
      <c r="AQ113" s="78">
        <v>0</v>
      </c>
      <c r="AR113" s="78">
        <v>0</v>
      </c>
      <c r="AS113" s="78">
        <v>35304</v>
      </c>
      <c r="AT113" s="78">
        <v>16776</v>
      </c>
      <c r="AU113" s="78">
        <v>-9468</v>
      </c>
      <c r="AV113" s="78">
        <v>1512</v>
      </c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</row>
    <row r="114" spans="1:70" ht="12.75">
      <c r="A114" s="75">
        <v>851</v>
      </c>
      <c r="B114" s="77" t="s">
        <v>125</v>
      </c>
      <c r="C114" s="78">
        <v>839928</v>
      </c>
      <c r="D114" s="78">
        <v>7932</v>
      </c>
      <c r="E114" s="78">
        <v>0</v>
      </c>
      <c r="F114" s="78">
        <v>25068</v>
      </c>
      <c r="G114" s="78">
        <v>0</v>
      </c>
      <c r="H114" s="78">
        <v>-13164</v>
      </c>
      <c r="I114" s="78">
        <v>-536928</v>
      </c>
      <c r="J114" s="78">
        <v>0</v>
      </c>
      <c r="K114" s="78">
        <v>-7380</v>
      </c>
      <c r="L114" s="78">
        <v>-50688</v>
      </c>
      <c r="M114" s="78">
        <v>81540</v>
      </c>
      <c r="N114" s="78">
        <v>-99240</v>
      </c>
      <c r="O114" s="78">
        <v>24648</v>
      </c>
      <c r="P114" s="78">
        <v>432</v>
      </c>
      <c r="Q114" s="78">
        <v>25968</v>
      </c>
      <c r="R114" s="78">
        <v>34800</v>
      </c>
      <c r="S114" s="78">
        <v>36456</v>
      </c>
      <c r="T114" s="78">
        <v>3480</v>
      </c>
      <c r="U114" s="78">
        <v>21060</v>
      </c>
      <c r="V114" s="78">
        <v>112008</v>
      </c>
      <c r="W114" s="78">
        <v>37332</v>
      </c>
      <c r="X114" s="78">
        <v>3262500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  <c r="AD114" s="78">
        <v>0</v>
      </c>
      <c r="AE114" s="78">
        <v>2184</v>
      </c>
      <c r="AF114" s="78">
        <v>0</v>
      </c>
      <c r="AG114" s="78">
        <v>156</v>
      </c>
      <c r="AH114" s="78">
        <v>120</v>
      </c>
      <c r="AI114" s="78">
        <v>0</v>
      </c>
      <c r="AJ114" s="78">
        <v>0</v>
      </c>
      <c r="AK114" s="78">
        <v>0</v>
      </c>
      <c r="AL114" s="78">
        <v>0</v>
      </c>
      <c r="AM114" s="78">
        <v>0</v>
      </c>
      <c r="AN114" s="78">
        <v>0</v>
      </c>
      <c r="AO114" s="78">
        <v>0</v>
      </c>
      <c r="AP114" s="78">
        <v>0</v>
      </c>
      <c r="AQ114" s="78">
        <v>0</v>
      </c>
      <c r="AR114" s="78">
        <v>0</v>
      </c>
      <c r="AS114" s="78">
        <v>201276</v>
      </c>
      <c r="AT114" s="78">
        <v>29532</v>
      </c>
      <c r="AU114" s="78">
        <v>0</v>
      </c>
      <c r="AV114" s="78">
        <v>8628</v>
      </c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</row>
    <row r="115" spans="1:70" ht="12.75">
      <c r="A115" s="75">
        <v>860</v>
      </c>
      <c r="B115" s="77" t="s">
        <v>80</v>
      </c>
      <c r="C115" s="78">
        <v>277824</v>
      </c>
      <c r="D115" s="78">
        <v>10500</v>
      </c>
      <c r="E115" s="78">
        <v>0</v>
      </c>
      <c r="F115" s="78">
        <v>7380</v>
      </c>
      <c r="G115" s="78">
        <v>0</v>
      </c>
      <c r="H115" s="78">
        <v>-3876</v>
      </c>
      <c r="I115" s="78">
        <v>135228</v>
      </c>
      <c r="J115" s="78">
        <v>2904</v>
      </c>
      <c r="K115" s="78">
        <v>-2172</v>
      </c>
      <c r="L115" s="78">
        <v>15144</v>
      </c>
      <c r="M115" s="78">
        <v>23616</v>
      </c>
      <c r="N115" s="78">
        <v>-29208</v>
      </c>
      <c r="O115" s="78">
        <v>14724</v>
      </c>
      <c r="P115" s="78">
        <v>372</v>
      </c>
      <c r="Q115" s="78">
        <v>10284</v>
      </c>
      <c r="R115" s="78">
        <v>13776</v>
      </c>
      <c r="S115" s="78">
        <v>14436</v>
      </c>
      <c r="T115" s="78">
        <v>1380</v>
      </c>
      <c r="U115" s="78">
        <v>5772</v>
      </c>
      <c r="V115" s="78">
        <v>32964</v>
      </c>
      <c r="W115" s="78">
        <v>10992</v>
      </c>
      <c r="X115" s="78">
        <v>960108</v>
      </c>
      <c r="Y115" s="78">
        <v>83640</v>
      </c>
      <c r="Z115" s="78">
        <v>0</v>
      </c>
      <c r="AA115" s="78">
        <v>0</v>
      </c>
      <c r="AB115" s="78">
        <v>0</v>
      </c>
      <c r="AC115" s="78">
        <v>0</v>
      </c>
      <c r="AD115" s="78">
        <v>0</v>
      </c>
      <c r="AE115" s="78">
        <v>0</v>
      </c>
      <c r="AF115" s="78">
        <v>0</v>
      </c>
      <c r="AG115" s="78">
        <v>0</v>
      </c>
      <c r="AH115" s="78">
        <v>0</v>
      </c>
      <c r="AI115" s="78">
        <v>0</v>
      </c>
      <c r="AJ115" s="78">
        <v>23928</v>
      </c>
      <c r="AK115" s="78">
        <v>0</v>
      </c>
      <c r="AL115" s="78">
        <v>0</v>
      </c>
      <c r="AM115" s="78">
        <v>0</v>
      </c>
      <c r="AN115" s="78">
        <v>0</v>
      </c>
      <c r="AO115" s="78">
        <v>0</v>
      </c>
      <c r="AP115" s="78">
        <v>0</v>
      </c>
      <c r="AQ115" s="78">
        <v>0</v>
      </c>
      <c r="AR115" s="78">
        <v>0</v>
      </c>
      <c r="AS115" s="78">
        <v>59232</v>
      </c>
      <c r="AT115" s="78">
        <v>21324</v>
      </c>
      <c r="AU115" s="78">
        <v>-14052</v>
      </c>
      <c r="AV115" s="78">
        <v>2544</v>
      </c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6:12" ht="12.75">
      <c r="F120"/>
      <c r="G120"/>
      <c r="H120"/>
      <c r="I120"/>
      <c r="J120"/>
      <c r="K120"/>
      <c r="L120"/>
    </row>
    <row r="121" ht="12.75">
      <c r="F121"/>
    </row>
    <row r="122" spans="9:12" ht="12.75">
      <c r="I122"/>
      <c r="J122"/>
      <c r="K122"/>
      <c r="L122"/>
    </row>
    <row r="123" spans="9:12" ht="12.75">
      <c r="I123"/>
      <c r="J123"/>
      <c r="K123"/>
      <c r="L123"/>
    </row>
    <row r="124" spans="9:12" ht="12.75">
      <c r="I124"/>
      <c r="J124"/>
      <c r="K124"/>
      <c r="L124"/>
    </row>
    <row r="125" spans="9:12" ht="12.75">
      <c r="I125"/>
      <c r="J125"/>
      <c r="K125"/>
      <c r="L125"/>
    </row>
    <row r="126" spans="9:12" ht="12.75">
      <c r="I126"/>
      <c r="J126"/>
      <c r="K126"/>
      <c r="L126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1.140625" style="1" customWidth="1"/>
    <col min="3" max="4" width="12.28125" style="1" customWidth="1"/>
    <col min="5" max="5" width="15.140625" style="1" customWidth="1"/>
    <col min="6" max="8" width="12.28125" style="1" customWidth="1"/>
    <col min="9" max="9" width="14.8515625" style="1" customWidth="1"/>
    <col min="10" max="10" width="12.28125" style="1" customWidth="1"/>
    <col min="11" max="11" width="15.421875" style="1" customWidth="1"/>
    <col min="12" max="14" width="17.140625" style="1" customWidth="1"/>
    <col min="15" max="16384" width="9.140625" style="1" customWidth="1"/>
  </cols>
  <sheetData>
    <row r="1" spans="1:2" s="7" customFormat="1" ht="24" customHeight="1">
      <c r="A1" s="8" t="str">
        <f>"Bilagstabel 2: Grunddata til statsgaranti "&amp;aar</f>
        <v>Bilagstabel 2: Grunddata til statsgaranti 2021</v>
      </c>
      <c r="B1" s="9"/>
    </row>
    <row r="2" spans="3:21" ht="6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1" ht="12.75">
      <c r="A3" s="76" t="s">
        <v>14</v>
      </c>
      <c r="B3" s="76" t="s">
        <v>97</v>
      </c>
      <c r="C3" s="76" t="s">
        <v>297</v>
      </c>
      <c r="D3" s="76" t="s">
        <v>298</v>
      </c>
      <c r="E3" s="76" t="s">
        <v>297</v>
      </c>
      <c r="F3" s="76" t="s">
        <v>299</v>
      </c>
      <c r="G3" s="76" t="s">
        <v>299</v>
      </c>
      <c r="H3" s="76" t="s">
        <v>299</v>
      </c>
      <c r="I3" s="76" t="s">
        <v>300</v>
      </c>
      <c r="J3" s="76" t="s">
        <v>300</v>
      </c>
      <c r="K3" s="76" t="s">
        <v>301</v>
      </c>
      <c r="L3" s="76" t="s">
        <v>302</v>
      </c>
      <c r="M3" s="76" t="s">
        <v>178</v>
      </c>
      <c r="N3" s="76" t="s">
        <v>302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4"/>
      <c r="AH3" s="4"/>
      <c r="AI3" s="4"/>
      <c r="AJ3" s="4"/>
      <c r="AK3" s="4"/>
      <c r="AL3" s="4"/>
      <c r="AM3" s="4"/>
      <c r="AN3" s="4"/>
      <c r="AO3" s="4"/>
    </row>
    <row r="4" spans="1:41" ht="12.75">
      <c r="A4" s="69"/>
      <c r="B4" s="69"/>
      <c r="C4" s="69" t="s">
        <v>197</v>
      </c>
      <c r="D4" s="69" t="s">
        <v>227</v>
      </c>
      <c r="E4" s="69" t="s">
        <v>197</v>
      </c>
      <c r="F4" s="69" t="s">
        <v>303</v>
      </c>
      <c r="G4" s="69" t="s">
        <v>303</v>
      </c>
      <c r="H4" s="69" t="s">
        <v>303</v>
      </c>
      <c r="I4" s="69" t="s">
        <v>304</v>
      </c>
      <c r="J4" s="69" t="s">
        <v>304</v>
      </c>
      <c r="K4" s="69" t="s">
        <v>197</v>
      </c>
      <c r="L4" s="69" t="s">
        <v>195</v>
      </c>
      <c r="M4" s="69" t="s">
        <v>305</v>
      </c>
      <c r="N4" s="69" t="s">
        <v>195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4"/>
      <c r="AH4" s="4"/>
      <c r="AI4" s="4"/>
      <c r="AJ4" s="4"/>
      <c r="AK4" s="4"/>
      <c r="AL4" s="4"/>
      <c r="AM4" s="4"/>
      <c r="AN4" s="4"/>
      <c r="AO4" s="4"/>
    </row>
    <row r="5" spans="1:41" ht="12.75">
      <c r="A5" s="69"/>
      <c r="B5" s="69"/>
      <c r="C5" s="69" t="s">
        <v>306</v>
      </c>
      <c r="D5" s="69" t="s">
        <v>188</v>
      </c>
      <c r="E5" s="69" t="s">
        <v>200</v>
      </c>
      <c r="F5" s="69" t="s">
        <v>307</v>
      </c>
      <c r="G5" s="69" t="s">
        <v>307</v>
      </c>
      <c r="H5" s="69" t="s">
        <v>308</v>
      </c>
      <c r="I5" s="69" t="s">
        <v>309</v>
      </c>
      <c r="J5" s="69" t="s">
        <v>309</v>
      </c>
      <c r="K5" s="69" t="s">
        <v>200</v>
      </c>
      <c r="L5" s="69"/>
      <c r="M5" s="69" t="s">
        <v>310</v>
      </c>
      <c r="N5" s="69" t="s">
        <v>311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/>
      <c r="AH5" s="4"/>
      <c r="AI5" s="4"/>
      <c r="AJ5" s="4"/>
      <c r="AK5" s="4"/>
      <c r="AL5" s="4"/>
      <c r="AM5" s="4"/>
      <c r="AN5" s="4"/>
      <c r="AO5" s="4"/>
    </row>
    <row r="6" spans="1:41" ht="12.75">
      <c r="A6" s="69"/>
      <c r="B6" s="69"/>
      <c r="C6" s="69"/>
      <c r="D6" s="69" t="s">
        <v>312</v>
      </c>
      <c r="E6" s="69" t="s">
        <v>188</v>
      </c>
      <c r="F6" s="69" t="s">
        <v>313</v>
      </c>
      <c r="G6" s="69" t="s">
        <v>314</v>
      </c>
      <c r="H6" s="69"/>
      <c r="I6" s="69" t="s">
        <v>315</v>
      </c>
      <c r="J6" s="69" t="s">
        <v>315</v>
      </c>
      <c r="K6" s="69"/>
      <c r="L6" s="69"/>
      <c r="M6" s="69" t="s">
        <v>316</v>
      </c>
      <c r="N6" s="69" t="s">
        <v>317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/>
      <c r="AH6" s="4"/>
      <c r="AI6" s="4"/>
      <c r="AJ6" s="4"/>
      <c r="AK6" s="4"/>
      <c r="AL6" s="4"/>
      <c r="AM6" s="4"/>
      <c r="AN6" s="4"/>
      <c r="AO6" s="4"/>
    </row>
    <row r="7" spans="1:41" ht="12.75">
      <c r="A7" s="69"/>
      <c r="B7" s="69"/>
      <c r="C7" s="69"/>
      <c r="D7" s="69" t="s">
        <v>318</v>
      </c>
      <c r="E7" s="69" t="s">
        <v>312</v>
      </c>
      <c r="F7" s="69" t="s">
        <v>319</v>
      </c>
      <c r="G7" s="69" t="s">
        <v>320</v>
      </c>
      <c r="H7" s="69"/>
      <c r="I7" s="69" t="s">
        <v>313</v>
      </c>
      <c r="J7" s="69" t="s">
        <v>314</v>
      </c>
      <c r="K7" s="69"/>
      <c r="L7" s="69"/>
      <c r="M7" s="69" t="s">
        <v>321</v>
      </c>
      <c r="N7" s="6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/>
      <c r="AH7" s="4"/>
      <c r="AI7" s="4"/>
      <c r="AJ7" s="4"/>
      <c r="AK7" s="4"/>
      <c r="AL7" s="4"/>
      <c r="AM7" s="4"/>
      <c r="AN7" s="4"/>
      <c r="AO7" s="4"/>
    </row>
    <row r="8" spans="1:41" ht="12.75">
      <c r="A8" s="69"/>
      <c r="B8" s="69"/>
      <c r="C8" s="69"/>
      <c r="D8" s="69" t="s">
        <v>322</v>
      </c>
      <c r="E8" s="69" t="s">
        <v>318</v>
      </c>
      <c r="F8" s="69" t="s">
        <v>323</v>
      </c>
      <c r="G8" s="69" t="s">
        <v>324</v>
      </c>
      <c r="H8" s="69"/>
      <c r="I8" s="69" t="s">
        <v>319</v>
      </c>
      <c r="J8" s="69" t="s">
        <v>320</v>
      </c>
      <c r="K8" s="69"/>
      <c r="L8" s="69"/>
      <c r="M8" s="69" t="s">
        <v>325</v>
      </c>
      <c r="N8" s="69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/>
      <c r="AH8" s="4"/>
      <c r="AI8" s="4"/>
      <c r="AJ8" s="4"/>
      <c r="AK8" s="4"/>
      <c r="AL8" s="4"/>
      <c r="AM8" s="4"/>
      <c r="AN8" s="4"/>
      <c r="AO8" s="4"/>
    </row>
    <row r="9" spans="1:41" ht="12.75">
      <c r="A9" s="69"/>
      <c r="B9" s="69"/>
      <c r="C9" s="69"/>
      <c r="D9" s="69"/>
      <c r="E9" s="69" t="s">
        <v>322</v>
      </c>
      <c r="F9" s="69"/>
      <c r="G9" s="69"/>
      <c r="H9" s="69"/>
      <c r="I9" s="69" t="s">
        <v>323</v>
      </c>
      <c r="J9" s="69" t="s">
        <v>324</v>
      </c>
      <c r="K9" s="69"/>
      <c r="L9" s="69"/>
      <c r="M9" s="69"/>
      <c r="N9" s="6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/>
      <c r="AH9" s="4"/>
      <c r="AI9" s="4"/>
      <c r="AJ9" s="4"/>
      <c r="AK9" s="4"/>
      <c r="AL9" s="4"/>
      <c r="AM9" s="4"/>
      <c r="AN9" s="4"/>
      <c r="AO9" s="4"/>
    </row>
    <row r="10" spans="1:50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77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41" ht="12.75">
      <c r="A14" s="70"/>
      <c r="B14" s="70"/>
      <c r="C14" s="70">
        <v>1</v>
      </c>
      <c r="D14" s="70">
        <f aca="true" t="shared" si="0" ref="D14:N14">+C14+1</f>
        <v>2</v>
      </c>
      <c r="E14" s="70">
        <f t="shared" si="0"/>
        <v>3</v>
      </c>
      <c r="F14" s="70">
        <f t="shared" si="0"/>
        <v>4</v>
      </c>
      <c r="G14" s="70">
        <f t="shared" si="0"/>
        <v>5</v>
      </c>
      <c r="H14" s="70">
        <f t="shared" si="0"/>
        <v>6</v>
      </c>
      <c r="I14" s="70">
        <f t="shared" si="0"/>
        <v>7</v>
      </c>
      <c r="J14" s="70">
        <f t="shared" si="0"/>
        <v>8</v>
      </c>
      <c r="K14" s="70">
        <f t="shared" si="0"/>
        <v>9</v>
      </c>
      <c r="L14" s="70">
        <f t="shared" si="0"/>
        <v>10</v>
      </c>
      <c r="M14" s="70">
        <f t="shared" si="0"/>
        <v>11</v>
      </c>
      <c r="N14" s="70">
        <f t="shared" si="0"/>
        <v>12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/>
      <c r="AH14" s="4"/>
      <c r="AI14" s="4"/>
      <c r="AJ14" s="4"/>
      <c r="AK14" s="4"/>
      <c r="AL14" s="4"/>
      <c r="AM14" s="4"/>
      <c r="AN14" s="4"/>
      <c r="AO14" s="4"/>
    </row>
    <row r="15" spans="3:21" ht="7.5" customHeight="1">
      <c r="C15" s="3"/>
      <c r="D15" s="3"/>
      <c r="E15" s="3"/>
      <c r="F15" s="3"/>
      <c r="H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50" ht="12.75">
      <c r="A16" s="75">
        <v>1</v>
      </c>
      <c r="B16" s="77" t="s">
        <v>126</v>
      </c>
      <c r="C16" s="80">
        <f>100*D16/E16</f>
        <v>24.95378818933955</v>
      </c>
      <c r="D16" s="78">
        <f>SUM(D18:D115)</f>
        <v>260090795</v>
      </c>
      <c r="E16" s="78">
        <f>SUM(E18:E115)</f>
        <v>1042289824</v>
      </c>
      <c r="F16" s="80" t="s">
        <v>136</v>
      </c>
      <c r="G16" s="80" t="s">
        <v>136</v>
      </c>
      <c r="H16" s="78">
        <f aca="true" t="shared" si="1" ref="H16:M16">SUM(H18:H115)</f>
        <v>29253632.999999993</v>
      </c>
      <c r="I16" s="78">
        <f t="shared" si="1"/>
        <v>1082815282</v>
      </c>
      <c r="J16" s="78">
        <f t="shared" si="1"/>
        <v>139529066</v>
      </c>
      <c r="K16" s="78">
        <f t="shared" si="1"/>
        <v>1159521051.9999995</v>
      </c>
      <c r="L16" s="78">
        <f t="shared" si="1"/>
        <v>392944999.9999992</v>
      </c>
      <c r="M16" s="78">
        <f t="shared" si="1"/>
        <v>5844938</v>
      </c>
      <c r="N16" s="80">
        <f>+L16/M16*1000</f>
        <v>67228.25802429371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8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2.75">
      <c r="A18" s="75">
        <v>101</v>
      </c>
      <c r="B18" s="77" t="s">
        <v>98</v>
      </c>
      <c r="C18" s="80">
        <v>23.8</v>
      </c>
      <c r="D18" s="78">
        <v>27918086</v>
      </c>
      <c r="E18" s="78">
        <v>117302882</v>
      </c>
      <c r="F18" s="80">
        <v>34</v>
      </c>
      <c r="G18" s="80">
        <v>7.2</v>
      </c>
      <c r="H18" s="78">
        <v>4137006</v>
      </c>
      <c r="I18" s="78">
        <v>121676657</v>
      </c>
      <c r="J18" s="78">
        <v>0</v>
      </c>
      <c r="K18" s="78">
        <v>130045480</v>
      </c>
      <c r="L18" s="78">
        <v>41143074.6651374</v>
      </c>
      <c r="M18" s="78">
        <v>640862</v>
      </c>
      <c r="N18" s="80">
        <v>64199.585347762</v>
      </c>
      <c r="O18" s="10"/>
      <c r="P18" s="10"/>
      <c r="Q18" s="10"/>
      <c r="R18" s="10"/>
      <c r="S18" s="10"/>
      <c r="T18" s="10"/>
      <c r="U18" s="10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2.75">
      <c r="A19" s="75">
        <v>147</v>
      </c>
      <c r="B19" s="77" t="s">
        <v>99</v>
      </c>
      <c r="C19" s="80">
        <v>22.8</v>
      </c>
      <c r="D19" s="78">
        <v>5538020</v>
      </c>
      <c r="E19" s="78">
        <v>24289561</v>
      </c>
      <c r="F19" s="80">
        <v>24.75</v>
      </c>
      <c r="G19" s="80">
        <v>7.2</v>
      </c>
      <c r="H19" s="78">
        <v>512415</v>
      </c>
      <c r="I19" s="78">
        <v>20703645</v>
      </c>
      <c r="J19" s="78">
        <v>0</v>
      </c>
      <c r="K19" s="78">
        <v>26457752</v>
      </c>
      <c r="L19" s="78">
        <v>6346310.69309478</v>
      </c>
      <c r="M19" s="78">
        <v>104214</v>
      </c>
      <c r="N19" s="80">
        <v>60896.9110973073</v>
      </c>
      <c r="O19" s="10"/>
      <c r="P19" s="10"/>
      <c r="Q19" s="10"/>
      <c r="R19" s="10"/>
      <c r="S19" s="10"/>
      <c r="T19" s="10"/>
      <c r="U19" s="10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2.75">
      <c r="A20" s="75">
        <v>151</v>
      </c>
      <c r="B20" s="77" t="s">
        <v>15</v>
      </c>
      <c r="C20" s="80">
        <v>25.5</v>
      </c>
      <c r="D20" s="78">
        <v>2317659</v>
      </c>
      <c r="E20" s="78">
        <v>9088859</v>
      </c>
      <c r="F20" s="80">
        <v>28.89</v>
      </c>
      <c r="G20" s="80">
        <v>7.2</v>
      </c>
      <c r="H20" s="78">
        <v>398947</v>
      </c>
      <c r="I20" s="78">
        <v>13806241</v>
      </c>
      <c r="J20" s="78">
        <v>11793</v>
      </c>
      <c r="K20" s="78">
        <v>10535043</v>
      </c>
      <c r="L20" s="78">
        <v>3640873.20337067</v>
      </c>
      <c r="M20" s="78">
        <v>48670</v>
      </c>
      <c r="N20" s="80">
        <v>74807.3392925965</v>
      </c>
      <c r="O20" s="10"/>
      <c r="P20" s="10"/>
      <c r="Q20" s="10"/>
      <c r="R20" s="10"/>
      <c r="S20" s="10"/>
      <c r="T20" s="10"/>
      <c r="U20" s="1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2.75">
      <c r="A21" s="75">
        <v>153</v>
      </c>
      <c r="B21" s="77" t="s">
        <v>16</v>
      </c>
      <c r="C21" s="80">
        <v>24.3</v>
      </c>
      <c r="D21" s="78">
        <v>1385178</v>
      </c>
      <c r="E21" s="78">
        <v>5700321</v>
      </c>
      <c r="F21" s="80">
        <v>20.5</v>
      </c>
      <c r="G21" s="80">
        <v>5.7</v>
      </c>
      <c r="H21" s="78">
        <v>160742</v>
      </c>
      <c r="I21" s="78">
        <v>7841058</v>
      </c>
      <c r="J21" s="78">
        <v>0</v>
      </c>
      <c r="K21" s="78">
        <v>6521476</v>
      </c>
      <c r="L21" s="78">
        <v>2964226.8599729</v>
      </c>
      <c r="M21" s="78">
        <v>35088</v>
      </c>
      <c r="N21" s="80">
        <v>84479.7896709105</v>
      </c>
      <c r="O21" s="10"/>
      <c r="P21" s="10"/>
      <c r="Q21" s="10"/>
      <c r="R21" s="10"/>
      <c r="S21" s="10"/>
      <c r="T21" s="10"/>
      <c r="U21" s="10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2.75">
      <c r="A22" s="75">
        <v>155</v>
      </c>
      <c r="B22" s="77" t="s">
        <v>17</v>
      </c>
      <c r="C22" s="80">
        <v>24.8</v>
      </c>
      <c r="D22" s="78">
        <v>834864</v>
      </c>
      <c r="E22" s="78">
        <v>3366387</v>
      </c>
      <c r="F22" s="80">
        <v>24.47</v>
      </c>
      <c r="G22" s="80">
        <v>7.2</v>
      </c>
      <c r="H22" s="78">
        <v>136747</v>
      </c>
      <c r="I22" s="78">
        <v>5578088</v>
      </c>
      <c r="J22" s="78">
        <v>34822</v>
      </c>
      <c r="K22" s="78">
        <v>3951509</v>
      </c>
      <c r="L22" s="78">
        <v>888047.122360722</v>
      </c>
      <c r="M22" s="78">
        <v>14532</v>
      </c>
      <c r="N22" s="80">
        <v>61109.7661960309</v>
      </c>
      <c r="O22" s="10"/>
      <c r="P22" s="10"/>
      <c r="Q22" s="10"/>
      <c r="R22" s="10"/>
      <c r="S22" s="10"/>
      <c r="T22" s="10"/>
      <c r="U22" s="1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2.75">
      <c r="A23" s="75">
        <v>157</v>
      </c>
      <c r="B23" s="77" t="s">
        <v>18</v>
      </c>
      <c r="C23" s="80">
        <v>22.8</v>
      </c>
      <c r="D23" s="78">
        <v>5614806</v>
      </c>
      <c r="E23" s="78">
        <v>24626342</v>
      </c>
      <c r="F23" s="80">
        <v>16</v>
      </c>
      <c r="G23" s="80">
        <v>1.2</v>
      </c>
      <c r="H23" s="78">
        <v>649121.999999999</v>
      </c>
      <c r="I23" s="78">
        <v>40569440</v>
      </c>
      <c r="J23" s="78">
        <v>8943</v>
      </c>
      <c r="K23" s="78">
        <v>28875226</v>
      </c>
      <c r="L23" s="78">
        <v>4527018.35487488</v>
      </c>
      <c r="M23" s="78">
        <v>74600</v>
      </c>
      <c r="N23" s="80">
        <v>60683.8921564998</v>
      </c>
      <c r="O23" s="10"/>
      <c r="P23" s="10"/>
      <c r="Q23" s="10"/>
      <c r="R23" s="10"/>
      <c r="S23" s="10"/>
      <c r="T23" s="10"/>
      <c r="U23" s="10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2.75">
      <c r="A24" s="75">
        <v>159</v>
      </c>
      <c r="B24" s="77" t="s">
        <v>19</v>
      </c>
      <c r="C24" s="80">
        <v>23.5999999999999</v>
      </c>
      <c r="D24" s="78">
        <v>3185049</v>
      </c>
      <c r="E24" s="78">
        <v>13495970</v>
      </c>
      <c r="F24" s="80">
        <v>23</v>
      </c>
      <c r="G24" s="80">
        <v>7.2</v>
      </c>
      <c r="H24" s="78">
        <v>449163</v>
      </c>
      <c r="I24" s="78">
        <v>19528818</v>
      </c>
      <c r="J24" s="78">
        <v>0</v>
      </c>
      <c r="K24" s="78">
        <v>15541127</v>
      </c>
      <c r="L24" s="78">
        <v>4844571.03065109</v>
      </c>
      <c r="M24" s="78">
        <v>69598</v>
      </c>
      <c r="N24" s="80">
        <v>69607.9058399824</v>
      </c>
      <c r="O24" s="10"/>
      <c r="P24" s="10"/>
      <c r="Q24" s="10"/>
      <c r="R24" s="10"/>
      <c r="S24" s="10"/>
      <c r="T24" s="10"/>
      <c r="U24" s="10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2.75">
      <c r="A25" s="75">
        <v>161</v>
      </c>
      <c r="B25" s="77" t="s">
        <v>20</v>
      </c>
      <c r="C25" s="80">
        <v>23.5999999999999</v>
      </c>
      <c r="D25" s="78">
        <v>988403</v>
      </c>
      <c r="E25" s="78">
        <v>4188148</v>
      </c>
      <c r="F25" s="80">
        <v>25</v>
      </c>
      <c r="G25" s="80">
        <v>7.2</v>
      </c>
      <c r="H25" s="78">
        <v>146652</v>
      </c>
      <c r="I25" s="78">
        <v>5864812</v>
      </c>
      <c r="J25" s="78">
        <v>4388</v>
      </c>
      <c r="K25" s="78">
        <v>4802461</v>
      </c>
      <c r="L25" s="78">
        <v>1671683.89418868</v>
      </c>
      <c r="M25" s="78">
        <v>23249</v>
      </c>
      <c r="N25" s="80">
        <v>71903.4751683375</v>
      </c>
      <c r="O25" s="10"/>
      <c r="P25" s="10"/>
      <c r="Q25" s="10"/>
      <c r="R25" s="10"/>
      <c r="S25" s="10"/>
      <c r="T25" s="10"/>
      <c r="U25" s="10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2.75">
      <c r="A26" s="75">
        <v>163</v>
      </c>
      <c r="B26" s="77" t="s">
        <v>21</v>
      </c>
      <c r="C26" s="80">
        <v>23.6999999999999</v>
      </c>
      <c r="D26" s="78">
        <v>1226487</v>
      </c>
      <c r="E26" s="78">
        <v>5175050.99999999</v>
      </c>
      <c r="F26" s="80">
        <v>24.3</v>
      </c>
      <c r="G26" s="80">
        <v>7.2</v>
      </c>
      <c r="H26" s="78">
        <v>178097</v>
      </c>
      <c r="I26" s="78">
        <v>7328340</v>
      </c>
      <c r="J26" s="78">
        <v>2564</v>
      </c>
      <c r="K26" s="78">
        <v>5942582</v>
      </c>
      <c r="L26" s="78">
        <v>2155530.78135876</v>
      </c>
      <c r="M26" s="78">
        <v>29084</v>
      </c>
      <c r="N26" s="80">
        <v>74113.9726777185</v>
      </c>
      <c r="O26" s="10"/>
      <c r="P26" s="10"/>
      <c r="Q26" s="10"/>
      <c r="R26" s="10"/>
      <c r="S26" s="10"/>
      <c r="T26" s="10"/>
      <c r="U26" s="10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2.75">
      <c r="A27" s="75">
        <v>165</v>
      </c>
      <c r="B27" s="77" t="s">
        <v>22</v>
      </c>
      <c r="C27" s="80">
        <v>25.6</v>
      </c>
      <c r="D27" s="78">
        <v>1144417</v>
      </c>
      <c r="E27" s="78">
        <v>4470379</v>
      </c>
      <c r="F27" s="80">
        <v>33.94</v>
      </c>
      <c r="G27" s="80">
        <v>7.2</v>
      </c>
      <c r="H27" s="78">
        <v>210690</v>
      </c>
      <c r="I27" s="78">
        <v>6202743</v>
      </c>
      <c r="J27" s="78">
        <v>23504</v>
      </c>
      <c r="K27" s="78">
        <v>5120608</v>
      </c>
      <c r="L27" s="78">
        <v>2197038.80405445</v>
      </c>
      <c r="M27" s="78">
        <v>27664</v>
      </c>
      <c r="N27" s="80">
        <v>79418.6959244668</v>
      </c>
      <c r="O27" s="10"/>
      <c r="P27" s="10"/>
      <c r="Q27" s="10"/>
      <c r="R27" s="10"/>
      <c r="S27" s="10"/>
      <c r="T27" s="10"/>
      <c r="U27" s="10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2.75">
      <c r="A28" s="75">
        <v>167</v>
      </c>
      <c r="B28" s="77" t="s">
        <v>23</v>
      </c>
      <c r="C28" s="80">
        <v>25.5</v>
      </c>
      <c r="D28" s="78">
        <v>2410350</v>
      </c>
      <c r="E28" s="78">
        <v>9452353</v>
      </c>
      <c r="F28" s="80">
        <v>29.7</v>
      </c>
      <c r="G28" s="80">
        <v>7.2</v>
      </c>
      <c r="H28" s="78">
        <v>393479</v>
      </c>
      <c r="I28" s="78">
        <v>13247595</v>
      </c>
      <c r="J28" s="78">
        <v>3452</v>
      </c>
      <c r="K28" s="78">
        <v>10839803</v>
      </c>
      <c r="L28" s="78">
        <v>3846553.80155077</v>
      </c>
      <c r="M28" s="78">
        <v>53721</v>
      </c>
      <c r="N28" s="80">
        <v>71602.4236620831</v>
      </c>
      <c r="O28" s="10"/>
      <c r="P28" s="10"/>
      <c r="Q28" s="10"/>
      <c r="R28" s="10"/>
      <c r="S28" s="10"/>
      <c r="T28" s="10"/>
      <c r="U28" s="1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2.75">
      <c r="A29" s="75">
        <v>169</v>
      </c>
      <c r="B29" s="77" t="s">
        <v>100</v>
      </c>
      <c r="C29" s="80">
        <v>24.6</v>
      </c>
      <c r="D29" s="78">
        <v>2109092</v>
      </c>
      <c r="E29" s="78">
        <v>8573545</v>
      </c>
      <c r="F29" s="80">
        <v>24.4</v>
      </c>
      <c r="G29" s="80">
        <v>7.2</v>
      </c>
      <c r="H29" s="78">
        <v>271174</v>
      </c>
      <c r="I29" s="78">
        <v>11051418.9999999</v>
      </c>
      <c r="J29" s="78">
        <v>211025</v>
      </c>
      <c r="K29" s="78">
        <v>9736703</v>
      </c>
      <c r="L29" s="78">
        <v>3733720.05556725</v>
      </c>
      <c r="M29" s="78">
        <v>50934</v>
      </c>
      <c r="N29" s="80">
        <v>73305.062543041</v>
      </c>
      <c r="O29" s="10"/>
      <c r="P29" s="10"/>
      <c r="Q29" s="10"/>
      <c r="R29" s="10"/>
      <c r="S29" s="10"/>
      <c r="T29" s="10"/>
      <c r="U29" s="10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2.75">
      <c r="A30" s="75">
        <v>173</v>
      </c>
      <c r="B30" s="77" t="s">
        <v>101</v>
      </c>
      <c r="C30" s="80">
        <v>23.6999999999999</v>
      </c>
      <c r="D30" s="78">
        <v>3301733</v>
      </c>
      <c r="E30" s="78">
        <v>13931363</v>
      </c>
      <c r="F30" s="80">
        <v>21.4849999999999</v>
      </c>
      <c r="G30" s="80">
        <v>6.685</v>
      </c>
      <c r="H30" s="78">
        <v>530671</v>
      </c>
      <c r="I30" s="78">
        <v>24682334</v>
      </c>
      <c r="J30" s="78">
        <v>55454</v>
      </c>
      <c r="K30" s="78">
        <v>16517746</v>
      </c>
      <c r="L30" s="78">
        <v>3514018.31448877</v>
      </c>
      <c r="M30" s="78">
        <v>56279</v>
      </c>
      <c r="N30" s="80">
        <v>62439.2458019647</v>
      </c>
      <c r="O30" s="10"/>
      <c r="P30" s="10"/>
      <c r="Q30" s="10"/>
      <c r="R30" s="10"/>
      <c r="S30" s="10"/>
      <c r="T30" s="10"/>
      <c r="U30" s="1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2.75">
      <c r="A31" s="75">
        <v>175</v>
      </c>
      <c r="B31" s="77" t="s">
        <v>24</v>
      </c>
      <c r="C31" s="80">
        <v>25.6999999999999</v>
      </c>
      <c r="D31" s="78">
        <v>1813804</v>
      </c>
      <c r="E31" s="78">
        <v>7057603</v>
      </c>
      <c r="F31" s="80">
        <v>30.8</v>
      </c>
      <c r="G31" s="80">
        <v>7.2</v>
      </c>
      <c r="H31" s="78">
        <v>289261</v>
      </c>
      <c r="I31" s="78">
        <v>9391577</v>
      </c>
      <c r="J31" s="78">
        <v>0</v>
      </c>
      <c r="K31" s="78">
        <v>8041137</v>
      </c>
      <c r="L31" s="78">
        <v>3010065.33591203</v>
      </c>
      <c r="M31" s="78">
        <v>41209</v>
      </c>
      <c r="N31" s="80">
        <v>73043.8820624629</v>
      </c>
      <c r="O31" s="10"/>
      <c r="P31" s="10"/>
      <c r="Q31" s="10"/>
      <c r="R31" s="10"/>
      <c r="S31" s="10"/>
      <c r="T31" s="10"/>
      <c r="U31" s="10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2.75">
      <c r="A32" s="75">
        <v>183</v>
      </c>
      <c r="B32" s="77" t="s">
        <v>25</v>
      </c>
      <c r="C32" s="80">
        <v>25</v>
      </c>
      <c r="D32" s="78">
        <v>879981</v>
      </c>
      <c r="E32" s="78">
        <v>3519924</v>
      </c>
      <c r="F32" s="80">
        <v>25</v>
      </c>
      <c r="G32" s="80">
        <v>7.2</v>
      </c>
      <c r="H32" s="78">
        <v>99219</v>
      </c>
      <c r="I32" s="78">
        <v>3949739</v>
      </c>
      <c r="J32" s="78">
        <v>66108</v>
      </c>
      <c r="K32" s="78">
        <v>3935377</v>
      </c>
      <c r="L32" s="78">
        <v>1868705.11397106</v>
      </c>
      <c r="M32" s="78">
        <v>23144</v>
      </c>
      <c r="N32" s="80">
        <v>80742.5299849235</v>
      </c>
      <c r="O32" s="10"/>
      <c r="P32" s="10"/>
      <c r="Q32" s="10"/>
      <c r="R32" s="10"/>
      <c r="S32" s="10"/>
      <c r="T32" s="10"/>
      <c r="U32" s="10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2.75">
      <c r="A33" s="75">
        <v>185</v>
      </c>
      <c r="B33" s="77" t="s">
        <v>26</v>
      </c>
      <c r="C33" s="80">
        <v>23.0999999999999</v>
      </c>
      <c r="D33" s="78">
        <v>1825785</v>
      </c>
      <c r="E33" s="78">
        <v>7903831</v>
      </c>
      <c r="F33" s="80">
        <v>24</v>
      </c>
      <c r="G33" s="80">
        <v>7.2</v>
      </c>
      <c r="H33" s="78">
        <v>278152</v>
      </c>
      <c r="I33" s="78">
        <v>11581703</v>
      </c>
      <c r="J33" s="78">
        <v>26478</v>
      </c>
      <c r="K33" s="78">
        <v>9117453</v>
      </c>
      <c r="L33" s="78">
        <v>2979650.10176315</v>
      </c>
      <c r="M33" s="78">
        <v>43005</v>
      </c>
      <c r="N33" s="80">
        <v>69286.1318861332</v>
      </c>
      <c r="O33" s="10"/>
      <c r="P33" s="10"/>
      <c r="Q33" s="10"/>
      <c r="R33" s="10"/>
      <c r="S33" s="10"/>
      <c r="T33" s="10"/>
      <c r="U33" s="10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2.75">
      <c r="A34" s="75">
        <v>187</v>
      </c>
      <c r="B34" s="77" t="s">
        <v>27</v>
      </c>
      <c r="C34" s="80">
        <v>25.0999999999999</v>
      </c>
      <c r="D34" s="78">
        <v>786974</v>
      </c>
      <c r="E34" s="78">
        <v>3135355</v>
      </c>
      <c r="F34" s="80">
        <v>24.38</v>
      </c>
      <c r="G34" s="80">
        <v>7.2</v>
      </c>
      <c r="H34" s="78">
        <v>101649</v>
      </c>
      <c r="I34" s="78">
        <v>4168251</v>
      </c>
      <c r="J34" s="78">
        <v>3816</v>
      </c>
      <c r="K34" s="78">
        <v>3571980</v>
      </c>
      <c r="L34" s="78">
        <v>1075842.47564819</v>
      </c>
      <c r="M34" s="78">
        <v>16852</v>
      </c>
      <c r="N34" s="80">
        <v>63840.6406152498</v>
      </c>
      <c r="O34" s="10"/>
      <c r="P34" s="10"/>
      <c r="Q34" s="10"/>
      <c r="R34" s="10"/>
      <c r="S34" s="10"/>
      <c r="T34" s="10"/>
      <c r="U34" s="10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2.75">
      <c r="A35" s="75">
        <v>190</v>
      </c>
      <c r="B35" s="77" t="s">
        <v>102</v>
      </c>
      <c r="C35" s="80">
        <v>24.8</v>
      </c>
      <c r="D35" s="78">
        <v>2442521</v>
      </c>
      <c r="E35" s="78">
        <v>9848875</v>
      </c>
      <c r="F35" s="80">
        <v>21.5</v>
      </c>
      <c r="G35" s="80">
        <v>6.7</v>
      </c>
      <c r="H35" s="78">
        <v>309252.999999999</v>
      </c>
      <c r="I35" s="78">
        <v>14352250</v>
      </c>
      <c r="J35" s="78">
        <v>101545</v>
      </c>
      <c r="K35" s="78">
        <v>11354704.9999999</v>
      </c>
      <c r="L35" s="78">
        <v>2660861.62353515</v>
      </c>
      <c r="M35" s="78">
        <v>41151</v>
      </c>
      <c r="N35" s="80">
        <v>64660.9225422264</v>
      </c>
      <c r="O35" s="10"/>
      <c r="P35" s="10"/>
      <c r="Q35" s="10"/>
      <c r="R35" s="10"/>
      <c r="S35" s="10"/>
      <c r="T35" s="10"/>
      <c r="U35" s="10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2.75">
      <c r="A36" s="75">
        <v>201</v>
      </c>
      <c r="B36" s="77" t="s">
        <v>28</v>
      </c>
      <c r="C36" s="80">
        <v>24.3</v>
      </c>
      <c r="D36" s="78">
        <v>1456894</v>
      </c>
      <c r="E36" s="78">
        <v>5995449</v>
      </c>
      <c r="F36" s="80">
        <v>23.8</v>
      </c>
      <c r="G36" s="80">
        <v>7.2</v>
      </c>
      <c r="H36" s="78">
        <v>212729</v>
      </c>
      <c r="I36" s="78">
        <v>8878652</v>
      </c>
      <c r="J36" s="78">
        <v>196794</v>
      </c>
      <c r="K36" s="78">
        <v>6930673</v>
      </c>
      <c r="L36" s="78">
        <v>1517888.82922823</v>
      </c>
      <c r="M36" s="78">
        <v>25815</v>
      </c>
      <c r="N36" s="80">
        <v>58798.7150582308</v>
      </c>
      <c r="O36" s="10"/>
      <c r="P36" s="10"/>
      <c r="Q36" s="10"/>
      <c r="R36" s="10"/>
      <c r="S36" s="10"/>
      <c r="T36" s="10"/>
      <c r="U36" s="10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2.75">
      <c r="A37" s="75">
        <v>210</v>
      </c>
      <c r="B37" s="77" t="s">
        <v>103</v>
      </c>
      <c r="C37" s="80">
        <v>25.3</v>
      </c>
      <c r="D37" s="78">
        <v>2197471</v>
      </c>
      <c r="E37" s="78">
        <v>8685656</v>
      </c>
      <c r="F37" s="80">
        <v>24.65</v>
      </c>
      <c r="G37" s="80">
        <v>7.2</v>
      </c>
      <c r="H37" s="78">
        <v>306826</v>
      </c>
      <c r="I37" s="78">
        <v>12331678</v>
      </c>
      <c r="J37" s="78">
        <v>395828</v>
      </c>
      <c r="K37" s="78">
        <v>9987967</v>
      </c>
      <c r="L37" s="78">
        <v>2725098.91500635</v>
      </c>
      <c r="M37" s="78">
        <v>41003</v>
      </c>
      <c r="N37" s="80">
        <v>66460.9641978964</v>
      </c>
      <c r="O37" s="10"/>
      <c r="P37" s="10"/>
      <c r="Q37" s="10"/>
      <c r="R37" s="10"/>
      <c r="S37" s="10"/>
      <c r="T37" s="10"/>
      <c r="U37" s="10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2.75">
      <c r="A38" s="75">
        <v>217</v>
      </c>
      <c r="B38" s="77" t="s">
        <v>30</v>
      </c>
      <c r="C38" s="80">
        <v>25.3</v>
      </c>
      <c r="D38" s="78">
        <v>3113141</v>
      </c>
      <c r="E38" s="78">
        <v>12304905</v>
      </c>
      <c r="F38" s="80">
        <v>28.5</v>
      </c>
      <c r="G38" s="80">
        <v>7.2</v>
      </c>
      <c r="H38" s="78">
        <v>593349</v>
      </c>
      <c r="I38" s="78">
        <v>20718976</v>
      </c>
      <c r="J38" s="78">
        <v>396912</v>
      </c>
      <c r="K38" s="78">
        <v>14485606</v>
      </c>
      <c r="L38" s="78">
        <v>4336184.00794894</v>
      </c>
      <c r="M38" s="78">
        <v>62818</v>
      </c>
      <c r="N38" s="80">
        <v>69027.7310316939</v>
      </c>
      <c r="O38" s="10"/>
      <c r="P38" s="10"/>
      <c r="Q38" s="10"/>
      <c r="R38" s="10"/>
      <c r="S38" s="10"/>
      <c r="T38" s="10"/>
      <c r="U38" s="10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2.75">
      <c r="A39" s="75">
        <v>219</v>
      </c>
      <c r="B39" s="77" t="s">
        <v>31</v>
      </c>
      <c r="C39" s="80">
        <v>25.6</v>
      </c>
      <c r="D39" s="78">
        <v>2650340</v>
      </c>
      <c r="E39" s="78">
        <v>10352891</v>
      </c>
      <c r="F39" s="80">
        <v>20.65</v>
      </c>
      <c r="G39" s="80">
        <v>5.85</v>
      </c>
      <c r="H39" s="78">
        <v>299080.999999999</v>
      </c>
      <c r="I39" s="78">
        <v>14278827</v>
      </c>
      <c r="J39" s="78">
        <v>721854</v>
      </c>
      <c r="K39" s="78">
        <v>11868074</v>
      </c>
      <c r="L39" s="78">
        <v>3239585.61332583</v>
      </c>
      <c r="M39" s="78">
        <v>51472</v>
      </c>
      <c r="N39" s="80">
        <v>62938.7941662618</v>
      </c>
      <c r="O39" s="10"/>
      <c r="P39" s="10"/>
      <c r="Q39" s="10"/>
      <c r="R39" s="10"/>
      <c r="S39" s="10"/>
      <c r="T39" s="10"/>
      <c r="U39" s="10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2.75">
      <c r="A40" s="75">
        <v>223</v>
      </c>
      <c r="B40" s="77" t="s">
        <v>32</v>
      </c>
      <c r="C40" s="80">
        <v>23.1999999999999</v>
      </c>
      <c r="D40" s="78">
        <v>1741644</v>
      </c>
      <c r="E40" s="78">
        <v>7507086</v>
      </c>
      <c r="F40" s="80">
        <v>22.1</v>
      </c>
      <c r="G40" s="80">
        <v>7.2</v>
      </c>
      <c r="H40" s="78">
        <v>290608</v>
      </c>
      <c r="I40" s="78">
        <v>13125620</v>
      </c>
      <c r="J40" s="78">
        <v>73848</v>
      </c>
      <c r="K40" s="78">
        <v>8883696</v>
      </c>
      <c r="L40" s="78">
        <v>1548197.00240933</v>
      </c>
      <c r="M40" s="78">
        <v>24792</v>
      </c>
      <c r="N40" s="80">
        <v>62447.4428206412</v>
      </c>
      <c r="O40" s="10"/>
      <c r="P40" s="10"/>
      <c r="Q40" s="10"/>
      <c r="R40" s="10"/>
      <c r="S40" s="10"/>
      <c r="T40" s="10"/>
      <c r="U40" s="1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2.75">
      <c r="A41" s="75">
        <v>230</v>
      </c>
      <c r="B41" s="77" t="s">
        <v>104</v>
      </c>
      <c r="C41" s="80">
        <v>22.8</v>
      </c>
      <c r="D41" s="78">
        <v>3880452</v>
      </c>
      <c r="E41" s="78">
        <v>17019526</v>
      </c>
      <c r="F41" s="80">
        <v>22.93</v>
      </c>
      <c r="G41" s="80">
        <v>7.2</v>
      </c>
      <c r="H41" s="78">
        <v>735809.999999999</v>
      </c>
      <c r="I41" s="78">
        <v>32042729</v>
      </c>
      <c r="J41" s="78">
        <v>148592</v>
      </c>
      <c r="K41" s="78">
        <v>20379286</v>
      </c>
      <c r="L41" s="78">
        <v>3497629.63893573</v>
      </c>
      <c r="M41" s="78">
        <v>56735</v>
      </c>
      <c r="N41" s="80">
        <v>61648.5351006562</v>
      </c>
      <c r="O41" s="10"/>
      <c r="P41" s="10"/>
      <c r="Q41" s="10"/>
      <c r="R41" s="10"/>
      <c r="S41" s="10"/>
      <c r="T41" s="10"/>
      <c r="U41" s="10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2.75">
      <c r="A42" s="75">
        <v>240</v>
      </c>
      <c r="B42" s="77" t="s">
        <v>105</v>
      </c>
      <c r="C42" s="80">
        <v>25.6999999999999</v>
      </c>
      <c r="D42" s="78">
        <v>2269623</v>
      </c>
      <c r="E42" s="78">
        <v>8831218</v>
      </c>
      <c r="F42" s="80">
        <v>23.98</v>
      </c>
      <c r="G42" s="80">
        <v>7.2</v>
      </c>
      <c r="H42" s="78">
        <v>279398</v>
      </c>
      <c r="I42" s="78">
        <v>11508577</v>
      </c>
      <c r="J42" s="78">
        <v>475271</v>
      </c>
      <c r="K42" s="78">
        <v>10049512</v>
      </c>
      <c r="L42" s="78">
        <v>2578400.08656553</v>
      </c>
      <c r="M42" s="78">
        <v>43430</v>
      </c>
      <c r="N42" s="80">
        <v>59369.1016938876</v>
      </c>
      <c r="O42" s="10"/>
      <c r="P42" s="10"/>
      <c r="Q42" s="10"/>
      <c r="R42" s="10"/>
      <c r="S42" s="10"/>
      <c r="T42" s="10"/>
      <c r="U42" s="10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2.75">
      <c r="A43" s="75">
        <v>250</v>
      </c>
      <c r="B43" s="77" t="s">
        <v>29</v>
      </c>
      <c r="C43" s="80">
        <v>25.8</v>
      </c>
      <c r="D43" s="78">
        <v>2173437</v>
      </c>
      <c r="E43" s="78">
        <v>8424174</v>
      </c>
      <c r="F43" s="80">
        <v>32.5</v>
      </c>
      <c r="G43" s="80">
        <v>7.2</v>
      </c>
      <c r="H43" s="78">
        <v>333158</v>
      </c>
      <c r="I43" s="78">
        <v>10044892</v>
      </c>
      <c r="J43" s="78">
        <v>930366</v>
      </c>
      <c r="K43" s="78">
        <v>9501686</v>
      </c>
      <c r="L43" s="78">
        <v>2968061.091491</v>
      </c>
      <c r="M43" s="78">
        <v>45370</v>
      </c>
      <c r="N43" s="80">
        <v>65419.0233963192</v>
      </c>
      <c r="O43" s="10"/>
      <c r="P43" s="10"/>
      <c r="Q43" s="10"/>
      <c r="R43" s="10"/>
      <c r="S43" s="10"/>
      <c r="T43" s="10"/>
      <c r="U43" s="10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2.75">
      <c r="A44" s="75">
        <v>253</v>
      </c>
      <c r="B44" s="77" t="s">
        <v>33</v>
      </c>
      <c r="C44" s="80">
        <v>24.1</v>
      </c>
      <c r="D44" s="78">
        <v>2391769</v>
      </c>
      <c r="E44" s="78">
        <v>9924353</v>
      </c>
      <c r="F44" s="80">
        <v>16.944</v>
      </c>
      <c r="G44" s="80">
        <v>2.144</v>
      </c>
      <c r="H44" s="78">
        <v>238077</v>
      </c>
      <c r="I44" s="78">
        <v>14034396</v>
      </c>
      <c r="J44" s="78">
        <v>129787</v>
      </c>
      <c r="K44" s="78">
        <v>11397672</v>
      </c>
      <c r="L44" s="78">
        <v>3311836.35612061</v>
      </c>
      <c r="M44" s="78">
        <v>50761</v>
      </c>
      <c r="N44" s="80">
        <v>65243.7177384333</v>
      </c>
      <c r="O44" s="10"/>
      <c r="P44" s="10"/>
      <c r="Q44" s="10"/>
      <c r="R44" s="10"/>
      <c r="S44" s="10"/>
      <c r="T44" s="10"/>
      <c r="U44" s="10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2.75">
      <c r="A45" s="75">
        <v>259</v>
      </c>
      <c r="B45" s="77" t="s">
        <v>34</v>
      </c>
      <c r="C45" s="80">
        <v>24.9</v>
      </c>
      <c r="D45" s="78">
        <v>2726156</v>
      </c>
      <c r="E45" s="78">
        <v>10948418</v>
      </c>
      <c r="F45" s="80">
        <v>21.038</v>
      </c>
      <c r="G45" s="80">
        <v>6.238</v>
      </c>
      <c r="H45" s="78">
        <v>273010</v>
      </c>
      <c r="I45" s="78">
        <v>12731598</v>
      </c>
      <c r="J45" s="78">
        <v>827676</v>
      </c>
      <c r="K45" s="78">
        <v>12304474.9999999</v>
      </c>
      <c r="L45" s="78">
        <v>4137107.01716748</v>
      </c>
      <c r="M45" s="78">
        <v>61184</v>
      </c>
      <c r="N45" s="80">
        <v>67617.4656310061</v>
      </c>
      <c r="O45" s="10"/>
      <c r="P45" s="10"/>
      <c r="Q45" s="10"/>
      <c r="R45" s="10"/>
      <c r="S45" s="10"/>
      <c r="T45" s="10"/>
      <c r="U45" s="10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2.75">
      <c r="A46" s="75">
        <v>260</v>
      </c>
      <c r="B46" s="77" t="s">
        <v>147</v>
      </c>
      <c r="C46" s="80">
        <v>25.6999999999999</v>
      </c>
      <c r="D46" s="78">
        <v>1407228</v>
      </c>
      <c r="E46" s="78">
        <v>5475594.99999999</v>
      </c>
      <c r="F46" s="80">
        <v>34</v>
      </c>
      <c r="G46" s="80">
        <v>7.2</v>
      </c>
      <c r="H46" s="78">
        <v>242278</v>
      </c>
      <c r="I46" s="78">
        <v>7059901</v>
      </c>
      <c r="J46" s="78">
        <v>311236.999999999</v>
      </c>
      <c r="K46" s="78">
        <v>6223494</v>
      </c>
      <c r="L46" s="78">
        <v>2141936.62131481</v>
      </c>
      <c r="M46" s="78">
        <v>31494</v>
      </c>
      <c r="N46" s="80">
        <v>68010.9424434755</v>
      </c>
      <c r="O46" s="10"/>
      <c r="P46" s="10"/>
      <c r="Q46" s="10"/>
      <c r="R46" s="10"/>
      <c r="S46" s="10"/>
      <c r="T46" s="10"/>
      <c r="U46" s="10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2.75">
      <c r="A47" s="75">
        <v>265</v>
      </c>
      <c r="B47" s="77" t="s">
        <v>36</v>
      </c>
      <c r="C47" s="80">
        <v>25.2</v>
      </c>
      <c r="D47" s="78">
        <v>4488730</v>
      </c>
      <c r="E47" s="78">
        <v>17812421</v>
      </c>
      <c r="F47" s="80">
        <v>25.69</v>
      </c>
      <c r="G47" s="80">
        <v>7.2</v>
      </c>
      <c r="H47" s="78">
        <v>564275</v>
      </c>
      <c r="I47" s="78">
        <v>21766172</v>
      </c>
      <c r="J47" s="78">
        <v>708657</v>
      </c>
      <c r="K47" s="78">
        <v>20111354</v>
      </c>
      <c r="L47" s="78">
        <v>5589257.31366281</v>
      </c>
      <c r="M47" s="78">
        <v>88266</v>
      </c>
      <c r="N47" s="80">
        <v>63322.8798593208</v>
      </c>
      <c r="O47" s="10"/>
      <c r="P47" s="10"/>
      <c r="Q47" s="10"/>
      <c r="R47" s="10"/>
      <c r="S47" s="10"/>
      <c r="T47" s="10"/>
      <c r="U47" s="10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2.75">
      <c r="A48" s="75">
        <v>269</v>
      </c>
      <c r="B48" s="77" t="s">
        <v>37</v>
      </c>
      <c r="C48" s="80">
        <v>24.6</v>
      </c>
      <c r="D48" s="78">
        <v>1153983</v>
      </c>
      <c r="E48" s="78">
        <v>4690988</v>
      </c>
      <c r="F48" s="80">
        <v>20.9499999999999</v>
      </c>
      <c r="G48" s="80">
        <v>6.15</v>
      </c>
      <c r="H48" s="78">
        <v>152520</v>
      </c>
      <c r="I48" s="78">
        <v>7240913</v>
      </c>
      <c r="J48" s="78">
        <v>133829</v>
      </c>
      <c r="K48" s="78">
        <v>5452970</v>
      </c>
      <c r="L48" s="78">
        <v>1428987.20893157</v>
      </c>
      <c r="M48" s="78">
        <v>23525</v>
      </c>
      <c r="N48" s="80">
        <v>60743.3457569213</v>
      </c>
      <c r="O48" s="10"/>
      <c r="P48" s="10"/>
      <c r="Q48" s="10"/>
      <c r="R48" s="10"/>
      <c r="S48" s="10"/>
      <c r="T48" s="10"/>
      <c r="U48" s="10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2.75">
      <c r="A49" s="75">
        <v>270</v>
      </c>
      <c r="B49" s="77" t="s">
        <v>106</v>
      </c>
      <c r="C49" s="80">
        <v>25.4</v>
      </c>
      <c r="D49" s="78">
        <v>1969788</v>
      </c>
      <c r="E49" s="78">
        <v>7755071</v>
      </c>
      <c r="F49" s="80">
        <v>29.34</v>
      </c>
      <c r="G49" s="80">
        <v>7.2</v>
      </c>
      <c r="H49" s="78">
        <v>506347</v>
      </c>
      <c r="I49" s="78">
        <v>17018106</v>
      </c>
      <c r="J49" s="78">
        <v>977290</v>
      </c>
      <c r="K49" s="78">
        <v>9564143</v>
      </c>
      <c r="L49" s="78">
        <v>2669939.01570555</v>
      </c>
      <c r="M49" s="78">
        <v>41062</v>
      </c>
      <c r="N49" s="80">
        <v>65022.1376383408</v>
      </c>
      <c r="O49" s="10"/>
      <c r="P49" s="10"/>
      <c r="Q49" s="10"/>
      <c r="R49" s="10"/>
      <c r="S49" s="10"/>
      <c r="T49" s="10"/>
      <c r="U49" s="10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2.75">
      <c r="A50" s="75">
        <v>306</v>
      </c>
      <c r="B50" s="77" t="s">
        <v>107</v>
      </c>
      <c r="C50" s="80">
        <v>26.6</v>
      </c>
      <c r="D50" s="78">
        <v>1436722</v>
      </c>
      <c r="E50" s="78">
        <v>5401211</v>
      </c>
      <c r="F50" s="80">
        <v>34</v>
      </c>
      <c r="G50" s="80">
        <v>7.2</v>
      </c>
      <c r="H50" s="78">
        <v>364698</v>
      </c>
      <c r="I50" s="78">
        <v>10523747</v>
      </c>
      <c r="J50" s="78">
        <v>957039</v>
      </c>
      <c r="K50" s="78">
        <v>6529604</v>
      </c>
      <c r="L50" s="78">
        <v>2391894.15872214</v>
      </c>
      <c r="M50" s="78">
        <v>32963</v>
      </c>
      <c r="N50" s="80">
        <v>72562.9996882003</v>
      </c>
      <c r="O50" s="10"/>
      <c r="P50" s="10"/>
      <c r="Q50" s="10"/>
      <c r="R50" s="10"/>
      <c r="S50" s="10"/>
      <c r="T50" s="10"/>
      <c r="U50" s="10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2.75">
      <c r="A51" s="75">
        <v>316</v>
      </c>
      <c r="B51" s="77" t="s">
        <v>38</v>
      </c>
      <c r="C51" s="80">
        <v>25.3</v>
      </c>
      <c r="D51" s="78">
        <v>3124506</v>
      </c>
      <c r="E51" s="78">
        <v>12349826</v>
      </c>
      <c r="F51" s="80">
        <v>25.092</v>
      </c>
      <c r="G51" s="80">
        <v>7.2</v>
      </c>
      <c r="H51" s="78">
        <v>274757</v>
      </c>
      <c r="I51" s="78">
        <v>10398850</v>
      </c>
      <c r="J51" s="78">
        <v>1920661</v>
      </c>
      <c r="K51" s="78">
        <v>13491613</v>
      </c>
      <c r="L51" s="78">
        <v>4968488.27162639</v>
      </c>
      <c r="M51" s="78">
        <v>71822</v>
      </c>
      <c r="N51" s="80">
        <v>69177.8044558268</v>
      </c>
      <c r="O51" s="10"/>
      <c r="P51" s="10"/>
      <c r="Q51" s="10"/>
      <c r="R51" s="10"/>
      <c r="S51" s="10"/>
      <c r="T51" s="10"/>
      <c r="U51" s="10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2.75">
      <c r="A52" s="75">
        <v>320</v>
      </c>
      <c r="B52" s="77" t="s">
        <v>108</v>
      </c>
      <c r="C52" s="80">
        <v>26</v>
      </c>
      <c r="D52" s="78">
        <v>1584428</v>
      </c>
      <c r="E52" s="78">
        <v>6093954</v>
      </c>
      <c r="F52" s="80">
        <v>25</v>
      </c>
      <c r="G52" s="80">
        <v>7.2</v>
      </c>
      <c r="H52" s="78">
        <v>127289</v>
      </c>
      <c r="I52" s="78">
        <v>4672410</v>
      </c>
      <c r="J52" s="78">
        <v>1455478</v>
      </c>
      <c r="K52" s="78">
        <v>6623259</v>
      </c>
      <c r="L52" s="78">
        <v>2481366.26742884</v>
      </c>
      <c r="M52" s="78">
        <v>36791</v>
      </c>
      <c r="N52" s="80">
        <v>67444.9258630871</v>
      </c>
      <c r="O52" s="10"/>
      <c r="P52" s="10"/>
      <c r="Q52" s="10"/>
      <c r="R52" s="10"/>
      <c r="S52" s="10"/>
      <c r="T52" s="10"/>
      <c r="U52" s="10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2.75">
      <c r="A53" s="75">
        <v>326</v>
      </c>
      <c r="B53" s="77" t="s">
        <v>39</v>
      </c>
      <c r="C53" s="80">
        <v>24.8</v>
      </c>
      <c r="D53" s="78">
        <v>2042514</v>
      </c>
      <c r="E53" s="78">
        <v>8235944</v>
      </c>
      <c r="F53" s="80">
        <v>34</v>
      </c>
      <c r="G53" s="80">
        <v>7.2</v>
      </c>
      <c r="H53" s="78">
        <v>264101</v>
      </c>
      <c r="I53" s="78">
        <v>7347466</v>
      </c>
      <c r="J53" s="78">
        <v>1984295</v>
      </c>
      <c r="K53" s="78">
        <v>9059923</v>
      </c>
      <c r="L53" s="78">
        <v>3561503.82576242</v>
      </c>
      <c r="M53" s="78">
        <v>48363</v>
      </c>
      <c r="N53" s="80">
        <v>73641.0856597487</v>
      </c>
      <c r="O53" s="10"/>
      <c r="P53" s="10"/>
      <c r="Q53" s="10"/>
      <c r="R53" s="10"/>
      <c r="S53" s="10"/>
      <c r="T53" s="10"/>
      <c r="U53" s="10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2.75">
      <c r="A54" s="75">
        <v>329</v>
      </c>
      <c r="B54" s="77" t="s">
        <v>40</v>
      </c>
      <c r="C54" s="80">
        <v>26.7</v>
      </c>
      <c r="D54" s="78">
        <v>1575624</v>
      </c>
      <c r="E54" s="78">
        <v>5901213</v>
      </c>
      <c r="F54" s="80">
        <v>24.74</v>
      </c>
      <c r="G54" s="80">
        <v>7.2</v>
      </c>
      <c r="H54" s="78">
        <v>131375</v>
      </c>
      <c r="I54" s="78">
        <v>5004786</v>
      </c>
      <c r="J54" s="78">
        <v>1049568</v>
      </c>
      <c r="K54" s="78">
        <v>6454175</v>
      </c>
      <c r="L54" s="78">
        <v>2403027.14092987</v>
      </c>
      <c r="M54" s="78">
        <v>35007</v>
      </c>
      <c r="N54" s="80">
        <v>68644.1894743872</v>
      </c>
      <c r="O54" s="10"/>
      <c r="P54" s="10"/>
      <c r="Q54" s="10"/>
      <c r="R54" s="10"/>
      <c r="S54" s="10"/>
      <c r="T54" s="10"/>
      <c r="U54" s="10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2.75">
      <c r="A55" s="75">
        <v>330</v>
      </c>
      <c r="B55" s="77" t="s">
        <v>41</v>
      </c>
      <c r="C55" s="80">
        <v>25.0999999999999</v>
      </c>
      <c r="D55" s="78">
        <v>3190685</v>
      </c>
      <c r="E55" s="78">
        <v>12711892</v>
      </c>
      <c r="F55" s="80">
        <v>25.3</v>
      </c>
      <c r="G55" s="80">
        <v>7.2</v>
      </c>
      <c r="H55" s="78">
        <v>290694</v>
      </c>
      <c r="I55" s="78">
        <v>10896486</v>
      </c>
      <c r="J55" s="78">
        <v>2085113</v>
      </c>
      <c r="K55" s="78">
        <v>13910312</v>
      </c>
      <c r="L55" s="78">
        <v>5787373.71511204</v>
      </c>
      <c r="M55" s="78">
        <v>79224</v>
      </c>
      <c r="N55" s="80">
        <v>73050.7638482283</v>
      </c>
      <c r="O55" s="10"/>
      <c r="P55" s="10"/>
      <c r="Q55" s="10"/>
      <c r="R55" s="10"/>
      <c r="S55" s="10"/>
      <c r="T55" s="10"/>
      <c r="U55" s="10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2.75">
      <c r="A56" s="75">
        <v>336</v>
      </c>
      <c r="B56" s="77" t="s">
        <v>44</v>
      </c>
      <c r="C56" s="80">
        <v>25</v>
      </c>
      <c r="D56" s="78">
        <v>1009237</v>
      </c>
      <c r="E56" s="78">
        <v>4036948</v>
      </c>
      <c r="F56" s="80">
        <v>21.52</v>
      </c>
      <c r="G56" s="80">
        <v>6.72</v>
      </c>
      <c r="H56" s="78">
        <v>100255</v>
      </c>
      <c r="I56" s="78">
        <v>4323001</v>
      </c>
      <c r="J56" s="78">
        <v>1075056</v>
      </c>
      <c r="K56" s="78">
        <v>4519210</v>
      </c>
      <c r="L56" s="78">
        <v>1519901.207669</v>
      </c>
      <c r="M56" s="78">
        <v>22915</v>
      </c>
      <c r="N56" s="80">
        <v>66327.7856281476</v>
      </c>
      <c r="O56" s="10"/>
      <c r="P56" s="10"/>
      <c r="Q56" s="10"/>
      <c r="R56" s="10"/>
      <c r="S56" s="10"/>
      <c r="T56" s="10"/>
      <c r="U56" s="10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2.75">
      <c r="A57" s="75">
        <v>340</v>
      </c>
      <c r="B57" s="77" t="s">
        <v>42</v>
      </c>
      <c r="C57" s="80">
        <v>26.4</v>
      </c>
      <c r="D57" s="78">
        <v>1345834</v>
      </c>
      <c r="E57" s="78">
        <v>5097856</v>
      </c>
      <c r="F57" s="80">
        <v>25.74</v>
      </c>
      <c r="G57" s="80">
        <v>7.2</v>
      </c>
      <c r="H57" s="78">
        <v>108147</v>
      </c>
      <c r="I57" s="78">
        <v>3911373</v>
      </c>
      <c r="J57" s="78">
        <v>1037176</v>
      </c>
      <c r="K57" s="78">
        <v>5535969</v>
      </c>
      <c r="L57" s="78">
        <v>2059268.08963476</v>
      </c>
      <c r="M57" s="78">
        <v>29926</v>
      </c>
      <c r="N57" s="80">
        <v>68812.0059358004</v>
      </c>
      <c r="O57" s="10"/>
      <c r="P57" s="10"/>
      <c r="Q57" s="10"/>
      <c r="R57" s="10"/>
      <c r="S57" s="10"/>
      <c r="T57" s="10"/>
      <c r="U57" s="10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2.75">
      <c r="A58" s="75">
        <v>350</v>
      </c>
      <c r="B58" s="77" t="s">
        <v>35</v>
      </c>
      <c r="C58" s="80">
        <v>25.2</v>
      </c>
      <c r="D58" s="78">
        <v>1361789</v>
      </c>
      <c r="E58" s="78">
        <v>5403925</v>
      </c>
      <c r="F58" s="80">
        <v>28.23</v>
      </c>
      <c r="G58" s="80">
        <v>7.2</v>
      </c>
      <c r="H58" s="78">
        <v>157459</v>
      </c>
      <c r="I58" s="78">
        <v>5331171</v>
      </c>
      <c r="J58" s="78">
        <v>966626</v>
      </c>
      <c r="K58" s="78">
        <v>5988789</v>
      </c>
      <c r="L58" s="78">
        <v>1739478.58659917</v>
      </c>
      <c r="M58" s="78">
        <v>28093</v>
      </c>
      <c r="N58" s="80">
        <v>61918.5771045875</v>
      </c>
      <c r="O58" s="10"/>
      <c r="P58" s="10"/>
      <c r="Q58" s="10"/>
      <c r="R58" s="10"/>
      <c r="S58" s="10"/>
      <c r="T58" s="10"/>
      <c r="U58" s="10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2.75">
      <c r="A59" s="75">
        <v>360</v>
      </c>
      <c r="B59" s="77" t="s">
        <v>109</v>
      </c>
      <c r="C59" s="80">
        <v>27</v>
      </c>
      <c r="D59" s="78">
        <v>1698188</v>
      </c>
      <c r="E59" s="78">
        <v>6289585</v>
      </c>
      <c r="F59" s="80">
        <v>33.09</v>
      </c>
      <c r="G59" s="80">
        <v>7.2</v>
      </c>
      <c r="H59" s="78">
        <v>149302</v>
      </c>
      <c r="I59" s="78">
        <v>3666518</v>
      </c>
      <c r="J59" s="78">
        <v>3885629</v>
      </c>
      <c r="K59" s="78">
        <v>6780312</v>
      </c>
      <c r="L59" s="78">
        <v>3498764.40855992</v>
      </c>
      <c r="M59" s="78">
        <v>40832</v>
      </c>
      <c r="N59" s="80">
        <v>85686.8242691988</v>
      </c>
      <c r="O59" s="10"/>
      <c r="P59" s="10"/>
      <c r="Q59" s="10"/>
      <c r="R59" s="10"/>
      <c r="S59" s="10"/>
      <c r="T59" s="10"/>
      <c r="U59" s="10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2.75">
      <c r="A60" s="75">
        <v>370</v>
      </c>
      <c r="B60" s="77" t="s">
        <v>43</v>
      </c>
      <c r="C60" s="80">
        <v>25</v>
      </c>
      <c r="D60" s="78">
        <v>3484511</v>
      </c>
      <c r="E60" s="78">
        <v>13938044</v>
      </c>
      <c r="F60" s="80">
        <v>25</v>
      </c>
      <c r="G60" s="80">
        <v>7.2</v>
      </c>
      <c r="H60" s="78">
        <v>329064</v>
      </c>
      <c r="I60" s="78">
        <v>12482396</v>
      </c>
      <c r="J60" s="78">
        <v>2361674</v>
      </c>
      <c r="K60" s="78">
        <v>15310147</v>
      </c>
      <c r="L60" s="78">
        <v>5775882.0369848</v>
      </c>
      <c r="M60" s="78">
        <v>83222</v>
      </c>
      <c r="N60" s="80">
        <v>69403.3072623201</v>
      </c>
      <c r="O60" s="10"/>
      <c r="P60" s="10"/>
      <c r="Q60" s="10"/>
      <c r="R60" s="10"/>
      <c r="S60" s="10"/>
      <c r="T60" s="10"/>
      <c r="U60" s="10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2.75">
      <c r="A61" s="75">
        <v>376</v>
      </c>
      <c r="B61" s="77" t="s">
        <v>110</v>
      </c>
      <c r="C61" s="80">
        <v>26.3</v>
      </c>
      <c r="D61" s="78">
        <v>2480848</v>
      </c>
      <c r="E61" s="78">
        <v>9432882</v>
      </c>
      <c r="F61" s="80">
        <v>32.34</v>
      </c>
      <c r="G61" s="80">
        <v>7.2</v>
      </c>
      <c r="H61" s="78">
        <v>263290</v>
      </c>
      <c r="I61" s="78">
        <v>7304731</v>
      </c>
      <c r="J61" s="78">
        <v>3757632</v>
      </c>
      <c r="K61" s="78">
        <v>10301105</v>
      </c>
      <c r="L61" s="78">
        <v>4556374.47064524</v>
      </c>
      <c r="M61" s="78">
        <v>60674</v>
      </c>
      <c r="N61" s="80">
        <v>75095.9961539579</v>
      </c>
      <c r="O61" s="10"/>
      <c r="P61" s="10"/>
      <c r="Q61" s="10"/>
      <c r="R61" s="10"/>
      <c r="S61" s="10"/>
      <c r="T61" s="10"/>
      <c r="U61" s="10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2.75">
      <c r="A62" s="75">
        <v>390</v>
      </c>
      <c r="B62" s="77" t="s">
        <v>45</v>
      </c>
      <c r="C62" s="80">
        <v>25.2</v>
      </c>
      <c r="D62" s="78">
        <v>1857769</v>
      </c>
      <c r="E62" s="78">
        <v>7372099</v>
      </c>
      <c r="F62" s="80">
        <v>32.32</v>
      </c>
      <c r="G62" s="80">
        <v>7.2</v>
      </c>
      <c r="H62" s="78">
        <v>218829</v>
      </c>
      <c r="I62" s="78">
        <v>6284008</v>
      </c>
      <c r="J62" s="78">
        <v>2184732</v>
      </c>
      <c r="K62" s="78">
        <v>8090214</v>
      </c>
      <c r="L62" s="78">
        <v>3272445.34482657</v>
      </c>
      <c r="M62" s="78">
        <v>45516</v>
      </c>
      <c r="N62" s="80">
        <v>71896.5933919188</v>
      </c>
      <c r="O62" s="10"/>
      <c r="P62" s="10"/>
      <c r="Q62" s="10"/>
      <c r="R62" s="10"/>
      <c r="S62" s="10"/>
      <c r="T62" s="10"/>
      <c r="U62" s="10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2.75">
      <c r="A63" s="75">
        <v>400</v>
      </c>
      <c r="B63" s="77" t="s">
        <v>111</v>
      </c>
      <c r="C63" s="80">
        <v>26.2</v>
      </c>
      <c r="D63" s="78">
        <v>1643978</v>
      </c>
      <c r="E63" s="78">
        <v>6274725</v>
      </c>
      <c r="F63" s="80">
        <v>34</v>
      </c>
      <c r="G63" s="80">
        <v>7.2</v>
      </c>
      <c r="H63" s="78">
        <v>162846</v>
      </c>
      <c r="I63" s="78">
        <v>4575750</v>
      </c>
      <c r="J63" s="78">
        <v>1009704</v>
      </c>
      <c r="K63" s="78">
        <v>6781661</v>
      </c>
      <c r="L63" s="78">
        <v>2818357.21825603</v>
      </c>
      <c r="M63" s="78">
        <v>39433</v>
      </c>
      <c r="N63" s="80">
        <v>71472.0467186375</v>
      </c>
      <c r="O63" s="10"/>
      <c r="P63" s="10"/>
      <c r="Q63" s="10"/>
      <c r="R63" s="10"/>
      <c r="S63" s="10"/>
      <c r="T63" s="10"/>
      <c r="U63" s="10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2.75">
      <c r="A64" s="75">
        <v>410</v>
      </c>
      <c r="B64" s="77" t="s">
        <v>48</v>
      </c>
      <c r="C64" s="80">
        <v>25.8</v>
      </c>
      <c r="D64" s="78">
        <v>1757610</v>
      </c>
      <c r="E64" s="78">
        <v>6812442</v>
      </c>
      <c r="F64" s="80">
        <v>21.29</v>
      </c>
      <c r="G64" s="80">
        <v>6.49</v>
      </c>
      <c r="H64" s="78">
        <v>115447</v>
      </c>
      <c r="I64" s="78">
        <v>5076899</v>
      </c>
      <c r="J64" s="78">
        <v>1134123</v>
      </c>
      <c r="K64" s="78">
        <v>7375279</v>
      </c>
      <c r="L64" s="78">
        <v>2536822.19170631</v>
      </c>
      <c r="M64" s="78">
        <v>39063</v>
      </c>
      <c r="N64" s="80">
        <v>64941.8168524258</v>
      </c>
      <c r="O64" s="10"/>
      <c r="P64" s="10"/>
      <c r="Q64" s="10"/>
      <c r="R64" s="10"/>
      <c r="S64" s="10"/>
      <c r="T64" s="10"/>
      <c r="U64" s="10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2.75">
      <c r="A65" s="75">
        <v>420</v>
      </c>
      <c r="B65" s="77" t="s">
        <v>46</v>
      </c>
      <c r="C65" s="80">
        <v>26.1</v>
      </c>
      <c r="D65" s="78">
        <v>1717878</v>
      </c>
      <c r="E65" s="78">
        <v>6581908</v>
      </c>
      <c r="F65" s="80">
        <v>22.12</v>
      </c>
      <c r="G65" s="80">
        <v>7.2</v>
      </c>
      <c r="H65" s="78">
        <v>107732</v>
      </c>
      <c r="I65" s="78">
        <v>4242663</v>
      </c>
      <c r="J65" s="78">
        <v>1928343</v>
      </c>
      <c r="K65" s="78">
        <v>7079199</v>
      </c>
      <c r="L65" s="78">
        <v>2811276.44895007</v>
      </c>
      <c r="M65" s="78">
        <v>40912</v>
      </c>
      <c r="N65" s="80">
        <v>68715.2045597885</v>
      </c>
      <c r="O65" s="10"/>
      <c r="P65" s="10"/>
      <c r="Q65" s="10"/>
      <c r="R65" s="10"/>
      <c r="S65" s="10"/>
      <c r="T65" s="10"/>
      <c r="U65" s="10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2.75">
      <c r="A66" s="75">
        <v>430</v>
      </c>
      <c r="B66" s="77" t="s">
        <v>112</v>
      </c>
      <c r="C66" s="80">
        <v>26.1</v>
      </c>
      <c r="D66" s="78">
        <v>2141976</v>
      </c>
      <c r="E66" s="78">
        <v>8206805</v>
      </c>
      <c r="F66" s="80">
        <v>22.85</v>
      </c>
      <c r="G66" s="80">
        <v>7.2</v>
      </c>
      <c r="H66" s="78">
        <v>156231</v>
      </c>
      <c r="I66" s="78">
        <v>6044444</v>
      </c>
      <c r="J66" s="78">
        <v>2515981</v>
      </c>
      <c r="K66" s="78">
        <v>8908932</v>
      </c>
      <c r="L66" s="78">
        <v>3517643.55806489</v>
      </c>
      <c r="M66" s="78">
        <v>51614</v>
      </c>
      <c r="N66" s="80">
        <v>68152.8956884739</v>
      </c>
      <c r="O66" s="10"/>
      <c r="P66" s="10"/>
      <c r="Q66" s="10"/>
      <c r="R66" s="10"/>
      <c r="S66" s="10"/>
      <c r="T66" s="10"/>
      <c r="U66" s="10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2.75">
      <c r="A67" s="75">
        <v>440</v>
      </c>
      <c r="B67" s="77" t="s">
        <v>47</v>
      </c>
      <c r="C67" s="80">
        <v>26.4</v>
      </c>
      <c r="D67" s="78">
        <v>1036336</v>
      </c>
      <c r="E67" s="78">
        <v>3925515</v>
      </c>
      <c r="F67" s="80">
        <v>30.3</v>
      </c>
      <c r="G67" s="80">
        <v>7.2</v>
      </c>
      <c r="H67" s="78">
        <v>110624</v>
      </c>
      <c r="I67" s="78">
        <v>3458017</v>
      </c>
      <c r="J67" s="78">
        <v>811883</v>
      </c>
      <c r="K67" s="78">
        <v>4309961</v>
      </c>
      <c r="L67" s="78">
        <v>1629828.75399277</v>
      </c>
      <c r="M67" s="78">
        <v>23784</v>
      </c>
      <c r="N67" s="80">
        <v>68526.2678268067</v>
      </c>
      <c r="O67" s="10"/>
      <c r="P67" s="10"/>
      <c r="Q67" s="10"/>
      <c r="R67" s="10"/>
      <c r="S67" s="10"/>
      <c r="T67" s="10"/>
      <c r="U67" s="10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2.75">
      <c r="A68" s="75">
        <v>450</v>
      </c>
      <c r="B68" s="77" t="s">
        <v>49</v>
      </c>
      <c r="C68" s="80">
        <v>26.4</v>
      </c>
      <c r="D68" s="78">
        <v>1375617</v>
      </c>
      <c r="E68" s="78">
        <v>5210670</v>
      </c>
      <c r="F68" s="80">
        <v>27.8299999999999</v>
      </c>
      <c r="G68" s="80">
        <v>7.2</v>
      </c>
      <c r="H68" s="78">
        <v>123032</v>
      </c>
      <c r="I68" s="78">
        <v>4126996</v>
      </c>
      <c r="J68" s="78">
        <v>1135872</v>
      </c>
      <c r="K68" s="78">
        <v>5674076</v>
      </c>
      <c r="L68" s="78">
        <v>2284609.99245973</v>
      </c>
      <c r="M68" s="78">
        <v>32036</v>
      </c>
      <c r="N68" s="80">
        <v>71313.8342008907</v>
      </c>
      <c r="O68" s="10"/>
      <c r="P68" s="10"/>
      <c r="Q68" s="10"/>
      <c r="R68" s="10"/>
      <c r="S68" s="10"/>
      <c r="T68" s="10"/>
      <c r="U68" s="10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2.75">
      <c r="A69" s="75">
        <v>461</v>
      </c>
      <c r="B69" s="77" t="s">
        <v>50</v>
      </c>
      <c r="C69" s="80">
        <v>25.4</v>
      </c>
      <c r="D69" s="78">
        <v>8352224</v>
      </c>
      <c r="E69" s="78">
        <v>32882772</v>
      </c>
      <c r="F69" s="80">
        <v>21.71</v>
      </c>
      <c r="G69" s="80">
        <v>6.91</v>
      </c>
      <c r="H69" s="78">
        <v>635873.999999999</v>
      </c>
      <c r="I69" s="78">
        <v>28999104</v>
      </c>
      <c r="J69" s="78">
        <v>912201</v>
      </c>
      <c r="K69" s="78">
        <v>35944767</v>
      </c>
      <c r="L69" s="78">
        <v>14006389.053942</v>
      </c>
      <c r="M69" s="78">
        <v>205972</v>
      </c>
      <c r="N69" s="80">
        <v>68001.4227853398</v>
      </c>
      <c r="O69" s="10"/>
      <c r="P69" s="10"/>
      <c r="Q69" s="10"/>
      <c r="R69" s="10"/>
      <c r="S69" s="10"/>
      <c r="T69" s="10"/>
      <c r="U69" s="10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2.75">
      <c r="A70" s="75">
        <v>479</v>
      </c>
      <c r="B70" s="77" t="s">
        <v>51</v>
      </c>
      <c r="C70" s="80">
        <v>26.8</v>
      </c>
      <c r="D70" s="78">
        <v>2493471</v>
      </c>
      <c r="E70" s="78">
        <v>9303996</v>
      </c>
      <c r="F70" s="80">
        <v>23.32</v>
      </c>
      <c r="G70" s="80">
        <v>7.2</v>
      </c>
      <c r="H70" s="78">
        <v>215691</v>
      </c>
      <c r="I70" s="78">
        <v>8761054</v>
      </c>
      <c r="J70" s="78">
        <v>1581006</v>
      </c>
      <c r="K70" s="78">
        <v>10264933</v>
      </c>
      <c r="L70" s="78">
        <v>3980472.84481926</v>
      </c>
      <c r="M70" s="78">
        <v>58347</v>
      </c>
      <c r="N70" s="80">
        <v>68220.6942056877</v>
      </c>
      <c r="O70" s="10"/>
      <c r="P70" s="10"/>
      <c r="Q70" s="10"/>
      <c r="R70" s="10"/>
      <c r="S70" s="10"/>
      <c r="T70" s="10"/>
      <c r="U70" s="10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2.75">
      <c r="A71" s="75">
        <v>480</v>
      </c>
      <c r="B71" s="77" t="s">
        <v>129</v>
      </c>
      <c r="C71" s="80">
        <v>26</v>
      </c>
      <c r="D71" s="78">
        <v>1230527</v>
      </c>
      <c r="E71" s="78">
        <v>4732796</v>
      </c>
      <c r="F71" s="80">
        <v>29.98</v>
      </c>
      <c r="G71" s="80">
        <v>7.2</v>
      </c>
      <c r="H71" s="78">
        <v>121753</v>
      </c>
      <c r="I71" s="78">
        <v>3632972</v>
      </c>
      <c r="J71" s="78">
        <v>1782803.99999999</v>
      </c>
      <c r="K71" s="78">
        <v>5162239</v>
      </c>
      <c r="L71" s="78">
        <v>2047468.43248038</v>
      </c>
      <c r="M71" s="78">
        <v>29748</v>
      </c>
      <c r="N71" s="80">
        <v>68827.0953502886</v>
      </c>
      <c r="O71" s="10"/>
      <c r="P71" s="10"/>
      <c r="Q71" s="10"/>
      <c r="R71" s="10"/>
      <c r="S71" s="10"/>
      <c r="T71" s="10"/>
      <c r="U71" s="10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2.75">
      <c r="A72" s="75">
        <v>482</v>
      </c>
      <c r="B72" s="77" t="s">
        <v>113</v>
      </c>
      <c r="C72" s="80">
        <v>27.8</v>
      </c>
      <c r="D72" s="78">
        <v>526444</v>
      </c>
      <c r="E72" s="78">
        <v>1893683</v>
      </c>
      <c r="F72" s="80">
        <v>24.57</v>
      </c>
      <c r="G72" s="80">
        <v>7.2</v>
      </c>
      <c r="H72" s="78">
        <v>58978</v>
      </c>
      <c r="I72" s="78">
        <v>2046297</v>
      </c>
      <c r="J72" s="78">
        <v>1208348</v>
      </c>
      <c r="K72" s="78">
        <v>2141179</v>
      </c>
      <c r="L72" s="78">
        <v>945980.886580618</v>
      </c>
      <c r="M72" s="78">
        <v>12492</v>
      </c>
      <c r="N72" s="80">
        <v>75726.9361655954</v>
      </c>
      <c r="O72" s="10"/>
      <c r="P72" s="10"/>
      <c r="Q72" s="10"/>
      <c r="R72" s="10"/>
      <c r="S72" s="10"/>
      <c r="T72" s="10"/>
      <c r="U72" s="10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2.75">
      <c r="A73" s="75">
        <v>492</v>
      </c>
      <c r="B73" s="77" t="s">
        <v>114</v>
      </c>
      <c r="C73" s="80">
        <v>26.1</v>
      </c>
      <c r="D73" s="78">
        <v>243493</v>
      </c>
      <c r="E73" s="78">
        <v>932923</v>
      </c>
      <c r="F73" s="80">
        <v>30</v>
      </c>
      <c r="G73" s="80">
        <v>7.2</v>
      </c>
      <c r="H73" s="78">
        <v>23027</v>
      </c>
      <c r="I73" s="78">
        <v>697630</v>
      </c>
      <c r="J73" s="78">
        <v>291403</v>
      </c>
      <c r="K73" s="78">
        <v>1013988</v>
      </c>
      <c r="L73" s="78">
        <v>436495.642598905</v>
      </c>
      <c r="M73" s="78">
        <v>5912</v>
      </c>
      <c r="N73" s="80">
        <v>73832.1452298554</v>
      </c>
      <c r="O73" s="10"/>
      <c r="P73" s="10"/>
      <c r="Q73" s="10"/>
      <c r="R73" s="10"/>
      <c r="S73" s="10"/>
      <c r="T73" s="10"/>
      <c r="U73" s="10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2.75">
      <c r="A74" s="75">
        <v>510</v>
      </c>
      <c r="B74" s="77" t="s">
        <v>52</v>
      </c>
      <c r="C74" s="80">
        <v>26.3</v>
      </c>
      <c r="D74" s="78">
        <v>2382311</v>
      </c>
      <c r="E74" s="78">
        <v>9058217</v>
      </c>
      <c r="F74" s="80">
        <v>24.3599999999999</v>
      </c>
      <c r="G74" s="80">
        <v>7.2</v>
      </c>
      <c r="H74" s="78">
        <v>162088</v>
      </c>
      <c r="I74" s="78">
        <v>5635737</v>
      </c>
      <c r="J74" s="78">
        <v>3444619</v>
      </c>
      <c r="K74" s="78">
        <v>9743055</v>
      </c>
      <c r="L74" s="78">
        <v>3972414.10290336</v>
      </c>
      <c r="M74" s="78">
        <v>55536</v>
      </c>
      <c r="N74" s="80">
        <v>71528.6319307001</v>
      </c>
      <c r="O74" s="10"/>
      <c r="P74" s="10"/>
      <c r="Q74" s="10"/>
      <c r="R74" s="10"/>
      <c r="S74" s="10"/>
      <c r="T74" s="10"/>
      <c r="U74" s="10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2.75">
      <c r="A75" s="75">
        <v>530</v>
      </c>
      <c r="B75" s="77" t="s">
        <v>55</v>
      </c>
      <c r="C75" s="80">
        <v>24</v>
      </c>
      <c r="D75" s="78">
        <v>1078450</v>
      </c>
      <c r="E75" s="78">
        <v>4493542</v>
      </c>
      <c r="F75" s="80">
        <v>18.48</v>
      </c>
      <c r="G75" s="80">
        <v>3.68</v>
      </c>
      <c r="H75" s="78">
        <v>64014</v>
      </c>
      <c r="I75" s="78">
        <v>3204649</v>
      </c>
      <c r="J75" s="78">
        <v>1302156</v>
      </c>
      <c r="K75" s="78">
        <v>4864924</v>
      </c>
      <c r="L75" s="78">
        <v>1825138.59085446</v>
      </c>
      <c r="M75" s="78">
        <v>26653</v>
      </c>
      <c r="N75" s="80">
        <v>68477.7920254553</v>
      </c>
      <c r="O75" s="10"/>
      <c r="P75" s="10"/>
      <c r="Q75" s="10"/>
      <c r="R75" s="10"/>
      <c r="S75" s="10"/>
      <c r="T75" s="10"/>
      <c r="U75" s="10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2.75">
      <c r="A76" s="75">
        <v>540</v>
      </c>
      <c r="B76" s="77" t="s">
        <v>53</v>
      </c>
      <c r="C76" s="80">
        <v>25.6999999999999</v>
      </c>
      <c r="D76" s="78">
        <v>3205927</v>
      </c>
      <c r="E76" s="78">
        <v>12474424</v>
      </c>
      <c r="F76" s="80">
        <v>27.1</v>
      </c>
      <c r="G76" s="80">
        <v>7.2</v>
      </c>
      <c r="H76" s="78">
        <v>243741</v>
      </c>
      <c r="I76" s="78">
        <v>8394113</v>
      </c>
      <c r="J76" s="78">
        <v>2258525</v>
      </c>
      <c r="K76" s="78">
        <v>13415547</v>
      </c>
      <c r="L76" s="78">
        <v>5304046.59058098</v>
      </c>
      <c r="M76" s="78">
        <v>74029</v>
      </c>
      <c r="N76" s="80">
        <v>71648.2269189234</v>
      </c>
      <c r="O76" s="10"/>
      <c r="P76" s="10"/>
      <c r="Q76" s="10"/>
      <c r="R76" s="10"/>
      <c r="S76" s="10"/>
      <c r="T76" s="10"/>
      <c r="U76" s="10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2.75">
      <c r="A77" s="75">
        <v>550</v>
      </c>
      <c r="B77" s="77" t="s">
        <v>54</v>
      </c>
      <c r="C77" s="80">
        <v>25.3</v>
      </c>
      <c r="D77" s="78">
        <v>1465043.99999999</v>
      </c>
      <c r="E77" s="78">
        <v>5790688</v>
      </c>
      <c r="F77" s="80">
        <v>21.24</v>
      </c>
      <c r="G77" s="80">
        <v>6.44</v>
      </c>
      <c r="H77" s="78">
        <v>103340</v>
      </c>
      <c r="I77" s="78">
        <v>3730297</v>
      </c>
      <c r="J77" s="78">
        <v>3743448</v>
      </c>
      <c r="K77" s="78">
        <v>6284188</v>
      </c>
      <c r="L77" s="78">
        <v>2740519.78601475</v>
      </c>
      <c r="M77" s="78">
        <v>37256</v>
      </c>
      <c r="N77" s="80">
        <v>73559.152512743</v>
      </c>
      <c r="O77" s="10"/>
      <c r="P77" s="10"/>
      <c r="Q77" s="10"/>
      <c r="R77" s="10"/>
      <c r="S77" s="10"/>
      <c r="T77" s="10"/>
      <c r="U77" s="10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2.75">
      <c r="A78" s="75">
        <v>561</v>
      </c>
      <c r="B78" s="77" t="s">
        <v>56</v>
      </c>
      <c r="C78" s="80">
        <v>25.8</v>
      </c>
      <c r="D78" s="78">
        <v>5099131</v>
      </c>
      <c r="E78" s="78">
        <v>19764074</v>
      </c>
      <c r="F78" s="80">
        <v>25.29</v>
      </c>
      <c r="G78" s="80">
        <v>7.2</v>
      </c>
      <c r="H78" s="78">
        <v>389511</v>
      </c>
      <c r="I78" s="78">
        <v>14747767</v>
      </c>
      <c r="J78" s="78">
        <v>2297231</v>
      </c>
      <c r="K78" s="78">
        <v>21371647</v>
      </c>
      <c r="L78" s="78">
        <v>7987190.59047894</v>
      </c>
      <c r="M78" s="78">
        <v>115417</v>
      </c>
      <c r="N78" s="80">
        <v>69202.8955048124</v>
      </c>
      <c r="O78" s="10"/>
      <c r="P78" s="10"/>
      <c r="Q78" s="10"/>
      <c r="R78" s="10"/>
      <c r="S78" s="10"/>
      <c r="T78" s="10"/>
      <c r="U78" s="10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2.75">
      <c r="A79" s="75">
        <v>563</v>
      </c>
      <c r="B79" s="77" t="s">
        <v>57</v>
      </c>
      <c r="C79" s="80">
        <v>24.9</v>
      </c>
      <c r="D79" s="78">
        <v>154929</v>
      </c>
      <c r="E79" s="78">
        <v>622205</v>
      </c>
      <c r="F79" s="80">
        <v>34</v>
      </c>
      <c r="G79" s="80">
        <v>7.2</v>
      </c>
      <c r="H79" s="78">
        <v>64685</v>
      </c>
      <c r="I79" s="78">
        <v>1894355</v>
      </c>
      <c r="J79" s="78">
        <v>38419</v>
      </c>
      <c r="K79" s="78">
        <v>821647</v>
      </c>
      <c r="L79" s="78">
        <v>219892.185923187</v>
      </c>
      <c r="M79" s="78">
        <v>3534</v>
      </c>
      <c r="N79" s="80">
        <v>62221.8975447616</v>
      </c>
      <c r="O79" s="10"/>
      <c r="P79" s="10"/>
      <c r="Q79" s="10"/>
      <c r="R79" s="10"/>
      <c r="S79" s="10"/>
      <c r="T79" s="10"/>
      <c r="U79" s="10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2.75">
      <c r="A80" s="75">
        <v>573</v>
      </c>
      <c r="B80" s="77" t="s">
        <v>58</v>
      </c>
      <c r="C80" s="80">
        <v>25.0999999999999</v>
      </c>
      <c r="D80" s="78">
        <v>2051224</v>
      </c>
      <c r="E80" s="78">
        <v>8172207</v>
      </c>
      <c r="F80" s="80">
        <v>31.5599999999999</v>
      </c>
      <c r="G80" s="80">
        <v>7.2</v>
      </c>
      <c r="H80" s="78">
        <v>315632</v>
      </c>
      <c r="I80" s="78">
        <v>9216216</v>
      </c>
      <c r="J80" s="78">
        <v>3439989</v>
      </c>
      <c r="K80" s="78">
        <v>9231883</v>
      </c>
      <c r="L80" s="78">
        <v>3371103.61751653</v>
      </c>
      <c r="M80" s="78">
        <v>49870</v>
      </c>
      <c r="N80" s="80">
        <v>67597.8266997501</v>
      </c>
      <c r="O80" s="10"/>
      <c r="P80" s="10"/>
      <c r="Q80" s="10"/>
      <c r="R80" s="10"/>
      <c r="S80" s="10"/>
      <c r="T80" s="10"/>
      <c r="U80" s="10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2.75">
      <c r="A81" s="75">
        <v>575</v>
      </c>
      <c r="B81" s="77" t="s">
        <v>59</v>
      </c>
      <c r="C81" s="80">
        <v>25.2</v>
      </c>
      <c r="D81" s="78">
        <v>1711907.99999999</v>
      </c>
      <c r="E81" s="78">
        <v>6793286</v>
      </c>
      <c r="F81" s="80">
        <v>20.36</v>
      </c>
      <c r="G81" s="80">
        <v>5.56</v>
      </c>
      <c r="H81" s="78">
        <v>81795</v>
      </c>
      <c r="I81" s="78">
        <v>3232066</v>
      </c>
      <c r="J81" s="78">
        <v>2875968</v>
      </c>
      <c r="K81" s="78">
        <v>7210776</v>
      </c>
      <c r="L81" s="78">
        <v>2894019.94985251</v>
      </c>
      <c r="M81" s="78">
        <v>42653</v>
      </c>
      <c r="N81" s="80">
        <v>67850.3258821774</v>
      </c>
      <c r="O81" s="10"/>
      <c r="P81" s="10"/>
      <c r="Q81" s="10"/>
      <c r="R81" s="10"/>
      <c r="S81" s="10"/>
      <c r="T81" s="10"/>
      <c r="U81" s="10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2.75">
      <c r="A82" s="75">
        <v>580</v>
      </c>
      <c r="B82" s="77" t="s">
        <v>115</v>
      </c>
      <c r="C82" s="80">
        <v>25.6</v>
      </c>
      <c r="D82" s="78">
        <v>2386513</v>
      </c>
      <c r="E82" s="78">
        <v>9322316</v>
      </c>
      <c r="F82" s="80">
        <v>18.9</v>
      </c>
      <c r="G82" s="80">
        <v>4.1</v>
      </c>
      <c r="H82" s="78">
        <v>134459</v>
      </c>
      <c r="I82" s="78">
        <v>6391690.99999999</v>
      </c>
      <c r="J82" s="78">
        <v>3330701</v>
      </c>
      <c r="K82" s="78">
        <v>10083191</v>
      </c>
      <c r="L82" s="78">
        <v>4145993.08546116</v>
      </c>
      <c r="M82" s="78">
        <v>58736</v>
      </c>
      <c r="N82" s="80">
        <v>70586.9157835257</v>
      </c>
      <c r="O82" s="10"/>
      <c r="P82" s="10"/>
      <c r="Q82" s="10"/>
      <c r="R82" s="10"/>
      <c r="S82" s="10"/>
      <c r="T82" s="10"/>
      <c r="U82" s="10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2.75">
      <c r="A83" s="75">
        <v>607</v>
      </c>
      <c r="B83" s="77" t="s">
        <v>60</v>
      </c>
      <c r="C83" s="80">
        <v>25.5</v>
      </c>
      <c r="D83" s="78">
        <v>2254102</v>
      </c>
      <c r="E83" s="78">
        <v>8839616</v>
      </c>
      <c r="F83" s="80">
        <v>26</v>
      </c>
      <c r="G83" s="80">
        <v>7.2</v>
      </c>
      <c r="H83" s="78">
        <v>212378</v>
      </c>
      <c r="I83" s="78">
        <v>8041101</v>
      </c>
      <c r="J83" s="78">
        <v>459616.999999999</v>
      </c>
      <c r="K83" s="78">
        <v>9694348</v>
      </c>
      <c r="L83" s="78">
        <v>3720168.00862612</v>
      </c>
      <c r="M83" s="78">
        <v>51507</v>
      </c>
      <c r="N83" s="80">
        <v>72226.4548241234</v>
      </c>
      <c r="O83" s="10"/>
      <c r="P83" s="10"/>
      <c r="Q83" s="10"/>
      <c r="R83" s="10"/>
      <c r="S83" s="10"/>
      <c r="T83" s="10"/>
      <c r="U83" s="1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2.75">
      <c r="A84" s="75">
        <v>615</v>
      </c>
      <c r="B84" s="77" t="s">
        <v>62</v>
      </c>
      <c r="C84" s="80">
        <v>25.2</v>
      </c>
      <c r="D84" s="78">
        <v>3791087</v>
      </c>
      <c r="E84" s="78">
        <v>15043996</v>
      </c>
      <c r="F84" s="80">
        <v>22.56</v>
      </c>
      <c r="G84" s="80">
        <v>7.2</v>
      </c>
      <c r="H84" s="78">
        <v>310822</v>
      </c>
      <c r="I84" s="78">
        <v>13086088</v>
      </c>
      <c r="J84" s="78">
        <v>2166600</v>
      </c>
      <c r="K84" s="78">
        <v>16473961</v>
      </c>
      <c r="L84" s="78">
        <v>6169908.03872198</v>
      </c>
      <c r="M84" s="78">
        <v>91781</v>
      </c>
      <c r="N84" s="80">
        <v>67224.2407330709</v>
      </c>
      <c r="O84" s="10"/>
      <c r="P84" s="10"/>
      <c r="Q84" s="10"/>
      <c r="R84" s="10"/>
      <c r="S84" s="10"/>
      <c r="T84" s="10"/>
      <c r="U84" s="10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2.75">
      <c r="A85" s="75">
        <v>621</v>
      </c>
      <c r="B85" s="77" t="s">
        <v>63</v>
      </c>
      <c r="C85" s="80">
        <v>25.5</v>
      </c>
      <c r="D85" s="78">
        <v>4114755</v>
      </c>
      <c r="E85" s="78">
        <v>16136294</v>
      </c>
      <c r="F85" s="80">
        <v>25</v>
      </c>
      <c r="G85" s="80">
        <v>7.2</v>
      </c>
      <c r="H85" s="78">
        <v>389060.999999999</v>
      </c>
      <c r="I85" s="78">
        <v>14789950</v>
      </c>
      <c r="J85" s="78">
        <v>2682169</v>
      </c>
      <c r="K85" s="78">
        <v>17758861</v>
      </c>
      <c r="L85" s="78">
        <v>6236334.42390469</v>
      </c>
      <c r="M85" s="78">
        <v>93453</v>
      </c>
      <c r="N85" s="80">
        <v>66732.3084748985</v>
      </c>
      <c r="O85" s="10"/>
      <c r="P85" s="10"/>
      <c r="Q85" s="10"/>
      <c r="R85" s="10"/>
      <c r="S85" s="10"/>
      <c r="T85" s="10"/>
      <c r="U85" s="10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2.75">
      <c r="A86" s="75">
        <v>630</v>
      </c>
      <c r="B86" s="77" t="s">
        <v>64</v>
      </c>
      <c r="C86" s="80">
        <v>23.4</v>
      </c>
      <c r="D86" s="78">
        <v>4779553</v>
      </c>
      <c r="E86" s="78">
        <v>20425440</v>
      </c>
      <c r="F86" s="80">
        <v>27.7499999999999</v>
      </c>
      <c r="G86" s="80">
        <v>7.2</v>
      </c>
      <c r="H86" s="78">
        <v>505170</v>
      </c>
      <c r="I86" s="78">
        <v>17264553</v>
      </c>
      <c r="J86" s="78">
        <v>3622123</v>
      </c>
      <c r="K86" s="78">
        <v>22332983</v>
      </c>
      <c r="L86" s="78">
        <v>7732957.90875283</v>
      </c>
      <c r="M86" s="78">
        <v>116565</v>
      </c>
      <c r="N86" s="80">
        <v>66340.3071998698</v>
      </c>
      <c r="O86" s="10"/>
      <c r="P86" s="10"/>
      <c r="Q86" s="10"/>
      <c r="R86" s="10"/>
      <c r="S86" s="10"/>
      <c r="T86" s="10"/>
      <c r="U86" s="10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2.75">
      <c r="A87" s="75">
        <v>657</v>
      </c>
      <c r="B87" s="77" t="s">
        <v>65</v>
      </c>
      <c r="C87" s="80">
        <v>24.9</v>
      </c>
      <c r="D87" s="78">
        <v>3709768</v>
      </c>
      <c r="E87" s="78">
        <v>14898667</v>
      </c>
      <c r="F87" s="80">
        <v>20.53</v>
      </c>
      <c r="G87" s="80">
        <v>5.73</v>
      </c>
      <c r="H87" s="78">
        <v>276560</v>
      </c>
      <c r="I87" s="78">
        <v>12528139</v>
      </c>
      <c r="J87" s="78">
        <v>3378240</v>
      </c>
      <c r="K87" s="78">
        <v>16303488</v>
      </c>
      <c r="L87" s="78">
        <v>5839588.41971756</v>
      </c>
      <c r="M87" s="78">
        <v>89390</v>
      </c>
      <c r="N87" s="80">
        <v>65327.088261747</v>
      </c>
      <c r="O87" s="10"/>
      <c r="P87" s="10"/>
      <c r="Q87" s="10"/>
      <c r="R87" s="10"/>
      <c r="S87" s="10"/>
      <c r="T87" s="10"/>
      <c r="U87" s="10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2.75">
      <c r="A88" s="75">
        <v>661</v>
      </c>
      <c r="B88" s="77" t="s">
        <v>66</v>
      </c>
      <c r="C88" s="80">
        <v>25.5</v>
      </c>
      <c r="D88" s="78">
        <v>2398362</v>
      </c>
      <c r="E88" s="78">
        <v>9405341</v>
      </c>
      <c r="F88" s="80">
        <v>24.12</v>
      </c>
      <c r="G88" s="80">
        <v>7.2</v>
      </c>
      <c r="H88" s="78">
        <v>189359</v>
      </c>
      <c r="I88" s="78">
        <v>7159327</v>
      </c>
      <c r="J88" s="78">
        <v>2316059</v>
      </c>
      <c r="K88" s="78">
        <v>10218732</v>
      </c>
      <c r="L88" s="78">
        <v>3830581.04126456</v>
      </c>
      <c r="M88" s="78">
        <v>58754</v>
      </c>
      <c r="N88" s="80">
        <v>65196.940485151</v>
      </c>
      <c r="O88" s="10"/>
      <c r="P88" s="10"/>
      <c r="Q88" s="10"/>
      <c r="R88" s="10"/>
      <c r="S88" s="10"/>
      <c r="T88" s="10"/>
      <c r="U88" s="10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2.75">
      <c r="A89" s="75">
        <v>665</v>
      </c>
      <c r="B89" s="77" t="s">
        <v>67</v>
      </c>
      <c r="C89" s="80">
        <v>25.2</v>
      </c>
      <c r="D89" s="78">
        <v>842414</v>
      </c>
      <c r="E89" s="78">
        <v>3342913</v>
      </c>
      <c r="F89" s="80">
        <v>28</v>
      </c>
      <c r="G89" s="80">
        <v>7.2</v>
      </c>
      <c r="H89" s="78">
        <v>60309</v>
      </c>
      <c r="I89" s="78">
        <v>1733591</v>
      </c>
      <c r="J89" s="78">
        <v>1634444</v>
      </c>
      <c r="K89" s="78">
        <v>3569367</v>
      </c>
      <c r="L89" s="78">
        <v>1373943.54580575</v>
      </c>
      <c r="M89" s="78">
        <v>19560</v>
      </c>
      <c r="N89" s="80">
        <v>70242.5125667565</v>
      </c>
      <c r="O89" s="10"/>
      <c r="P89" s="10"/>
      <c r="Q89" s="10"/>
      <c r="R89" s="10"/>
      <c r="S89" s="10"/>
      <c r="T89" s="10"/>
      <c r="U89" s="10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2.75">
      <c r="A90" s="75">
        <v>671</v>
      </c>
      <c r="B90" s="77" t="s">
        <v>68</v>
      </c>
      <c r="C90" s="80">
        <v>25.3</v>
      </c>
      <c r="D90" s="78">
        <v>849256</v>
      </c>
      <c r="E90" s="78">
        <v>3356743</v>
      </c>
      <c r="F90" s="80">
        <v>22.9</v>
      </c>
      <c r="G90" s="80">
        <v>7.2</v>
      </c>
      <c r="H90" s="78">
        <v>59130</v>
      </c>
      <c r="I90" s="78">
        <v>2271975</v>
      </c>
      <c r="J90" s="78">
        <v>986368</v>
      </c>
      <c r="K90" s="78">
        <v>3621774</v>
      </c>
      <c r="L90" s="78">
        <v>1480550.22705576</v>
      </c>
      <c r="M90" s="78">
        <v>20923</v>
      </c>
      <c r="N90" s="80">
        <v>70761.8518881503</v>
      </c>
      <c r="O90" s="10"/>
      <c r="P90" s="10"/>
      <c r="Q90" s="10"/>
      <c r="R90" s="10"/>
      <c r="S90" s="10"/>
      <c r="T90" s="10"/>
      <c r="U90" s="10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2.75">
      <c r="A91" s="75">
        <v>706</v>
      </c>
      <c r="B91" s="77" t="s">
        <v>116</v>
      </c>
      <c r="C91" s="80">
        <v>25.9</v>
      </c>
      <c r="D91" s="78">
        <v>1852176</v>
      </c>
      <c r="E91" s="78">
        <v>7151259</v>
      </c>
      <c r="F91" s="80">
        <v>33.8</v>
      </c>
      <c r="G91" s="80">
        <v>7.2</v>
      </c>
      <c r="H91" s="78">
        <v>301695</v>
      </c>
      <c r="I91" s="78">
        <v>8422282</v>
      </c>
      <c r="J91" s="78">
        <v>2364102</v>
      </c>
      <c r="K91" s="78">
        <v>8098233</v>
      </c>
      <c r="L91" s="78">
        <v>2785300.86484705</v>
      </c>
      <c r="M91" s="78">
        <v>43202</v>
      </c>
      <c r="N91" s="80">
        <v>64471.5722616326</v>
      </c>
      <c r="O91" s="10"/>
      <c r="P91" s="10"/>
      <c r="Q91" s="10"/>
      <c r="R91" s="10"/>
      <c r="S91" s="10"/>
      <c r="T91" s="10"/>
      <c r="U91" s="10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2.75">
      <c r="A92" s="75">
        <v>707</v>
      </c>
      <c r="B92" s="77" t="s">
        <v>117</v>
      </c>
      <c r="C92" s="80">
        <v>26.7</v>
      </c>
      <c r="D92" s="78">
        <v>1574009</v>
      </c>
      <c r="E92" s="78">
        <v>5895165</v>
      </c>
      <c r="F92" s="80">
        <v>34</v>
      </c>
      <c r="G92" s="80">
        <v>7.2</v>
      </c>
      <c r="H92" s="78">
        <v>145090</v>
      </c>
      <c r="I92" s="78">
        <v>3736530</v>
      </c>
      <c r="J92" s="78">
        <v>2506709</v>
      </c>
      <c r="K92" s="78">
        <v>6355341</v>
      </c>
      <c r="L92" s="78">
        <v>2634054.483389</v>
      </c>
      <c r="M92" s="78">
        <v>36968</v>
      </c>
      <c r="N92" s="80">
        <v>71252.2853113235</v>
      </c>
      <c r="O92" s="10"/>
      <c r="P92" s="10"/>
      <c r="Q92" s="10"/>
      <c r="R92" s="10"/>
      <c r="S92" s="10"/>
      <c r="T92" s="10"/>
      <c r="U92" s="10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2.75">
      <c r="A93" s="75">
        <v>710</v>
      </c>
      <c r="B93" s="77" t="s">
        <v>118</v>
      </c>
      <c r="C93" s="80">
        <v>25.6999999999999</v>
      </c>
      <c r="D93" s="78">
        <v>2169015</v>
      </c>
      <c r="E93" s="78">
        <v>8439747</v>
      </c>
      <c r="F93" s="80">
        <v>23.32</v>
      </c>
      <c r="G93" s="80">
        <v>7.2</v>
      </c>
      <c r="H93" s="78">
        <v>185307</v>
      </c>
      <c r="I93" s="78">
        <v>7187328</v>
      </c>
      <c r="J93" s="78">
        <v>2458169</v>
      </c>
      <c r="K93" s="78">
        <v>9259974</v>
      </c>
      <c r="L93" s="78">
        <v>3004602.26109046</v>
      </c>
      <c r="M93" s="78">
        <v>48542</v>
      </c>
      <c r="N93" s="80">
        <v>61896.9605926922</v>
      </c>
      <c r="O93" s="10"/>
      <c r="P93" s="10"/>
      <c r="Q93" s="10"/>
      <c r="R93" s="10"/>
      <c r="S93" s="10"/>
      <c r="T93" s="10"/>
      <c r="U93" s="10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2.75">
      <c r="A94" s="75">
        <v>727</v>
      </c>
      <c r="B94" s="77" t="s">
        <v>69</v>
      </c>
      <c r="C94" s="80">
        <v>25.0999999999999</v>
      </c>
      <c r="D94" s="78">
        <v>990726</v>
      </c>
      <c r="E94" s="78">
        <v>3947116</v>
      </c>
      <c r="F94" s="80">
        <v>30.32</v>
      </c>
      <c r="G94" s="80">
        <v>7.2</v>
      </c>
      <c r="H94" s="78">
        <v>160420</v>
      </c>
      <c r="I94" s="78">
        <v>5002820</v>
      </c>
      <c r="J94" s="78">
        <v>1213039</v>
      </c>
      <c r="K94" s="78">
        <v>4504363</v>
      </c>
      <c r="L94" s="78">
        <v>1479689.16060216</v>
      </c>
      <c r="M94" s="78">
        <v>22988</v>
      </c>
      <c r="N94" s="80">
        <v>64367.8945798749</v>
      </c>
      <c r="O94" s="10"/>
      <c r="P94" s="10"/>
      <c r="Q94" s="10"/>
      <c r="R94" s="10"/>
      <c r="S94" s="10"/>
      <c r="T94" s="10"/>
      <c r="U94" s="10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2.75">
      <c r="A95" s="75">
        <v>730</v>
      </c>
      <c r="B95" s="77" t="s">
        <v>70</v>
      </c>
      <c r="C95" s="80">
        <v>25.8</v>
      </c>
      <c r="D95" s="78">
        <v>4097220</v>
      </c>
      <c r="E95" s="78">
        <v>15880698</v>
      </c>
      <c r="F95" s="80">
        <v>27.93</v>
      </c>
      <c r="G95" s="80">
        <v>7.2</v>
      </c>
      <c r="H95" s="78">
        <v>333772.999999999</v>
      </c>
      <c r="I95" s="78">
        <v>11117220</v>
      </c>
      <c r="J95" s="78">
        <v>3231807</v>
      </c>
      <c r="K95" s="78">
        <v>17133738</v>
      </c>
      <c r="L95" s="78">
        <v>6828768.87715023</v>
      </c>
      <c r="M95" s="78">
        <v>97967</v>
      </c>
      <c r="N95" s="80">
        <v>69704.7870931052</v>
      </c>
      <c r="O95" s="10"/>
      <c r="P95" s="10"/>
      <c r="Q95" s="10"/>
      <c r="R95" s="10"/>
      <c r="S95" s="10"/>
      <c r="T95" s="10"/>
      <c r="U95" s="10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2.75">
      <c r="A96" s="75">
        <v>740</v>
      </c>
      <c r="B96" s="77" t="s">
        <v>72</v>
      </c>
      <c r="C96" s="80">
        <v>25.5</v>
      </c>
      <c r="D96" s="78">
        <v>4161521</v>
      </c>
      <c r="E96" s="78">
        <v>16319690</v>
      </c>
      <c r="F96" s="80">
        <v>28.26</v>
      </c>
      <c r="G96" s="80">
        <v>7.2</v>
      </c>
      <c r="H96" s="78">
        <v>505572</v>
      </c>
      <c r="I96" s="78">
        <v>17201688</v>
      </c>
      <c r="J96" s="78">
        <v>2701666</v>
      </c>
      <c r="K96" s="78">
        <v>18195362</v>
      </c>
      <c r="L96" s="78">
        <v>6080368.95997071</v>
      </c>
      <c r="M96" s="78">
        <v>94781</v>
      </c>
      <c r="N96" s="80">
        <v>64151.7705022178</v>
      </c>
      <c r="O96" s="10"/>
      <c r="P96" s="10"/>
      <c r="Q96" s="10"/>
      <c r="R96" s="10"/>
      <c r="S96" s="10"/>
      <c r="T96" s="10"/>
      <c r="U96" s="10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2.75">
      <c r="A97" s="75">
        <v>741</v>
      </c>
      <c r="B97" s="77" t="s">
        <v>71</v>
      </c>
      <c r="C97" s="80">
        <v>26</v>
      </c>
      <c r="D97" s="78">
        <v>155893</v>
      </c>
      <c r="E97" s="78">
        <v>599588</v>
      </c>
      <c r="F97" s="80">
        <v>30.75</v>
      </c>
      <c r="G97" s="80">
        <v>7.2</v>
      </c>
      <c r="H97" s="78">
        <v>24031</v>
      </c>
      <c r="I97" s="78">
        <v>669909</v>
      </c>
      <c r="J97" s="78">
        <v>476544</v>
      </c>
      <c r="K97" s="78">
        <v>682836</v>
      </c>
      <c r="L97" s="78">
        <v>263369.782536806</v>
      </c>
      <c r="M97" s="78">
        <v>3667</v>
      </c>
      <c r="N97" s="80">
        <v>71821.5932742858</v>
      </c>
      <c r="O97" s="10"/>
      <c r="P97" s="10"/>
      <c r="Q97" s="10"/>
      <c r="R97" s="10"/>
      <c r="S97" s="10"/>
      <c r="T97" s="10"/>
      <c r="U97" s="10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2.75">
      <c r="A98" s="75">
        <v>746</v>
      </c>
      <c r="B98" s="77" t="s">
        <v>73</v>
      </c>
      <c r="C98" s="80">
        <v>25.6999999999999</v>
      </c>
      <c r="D98" s="78">
        <v>2932663</v>
      </c>
      <c r="E98" s="78">
        <v>11411140</v>
      </c>
      <c r="F98" s="80">
        <v>24.66</v>
      </c>
      <c r="G98" s="80">
        <v>7.2</v>
      </c>
      <c r="H98" s="78">
        <v>284303</v>
      </c>
      <c r="I98" s="78">
        <v>11016374</v>
      </c>
      <c r="J98" s="78">
        <v>1755445</v>
      </c>
      <c r="K98" s="78">
        <v>12613058</v>
      </c>
      <c r="L98" s="78">
        <v>3847112.86831801</v>
      </c>
      <c r="M98" s="78">
        <v>63364</v>
      </c>
      <c r="N98" s="80">
        <v>60714.4887999181</v>
      </c>
      <c r="O98" s="10"/>
      <c r="P98" s="10"/>
      <c r="Q98" s="10"/>
      <c r="R98" s="10"/>
      <c r="S98" s="10"/>
      <c r="T98" s="10"/>
      <c r="U98" s="10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2.75">
      <c r="A99" s="75">
        <v>751</v>
      </c>
      <c r="B99" s="77" t="s">
        <v>74</v>
      </c>
      <c r="C99" s="80">
        <v>24.4</v>
      </c>
      <c r="D99" s="78">
        <v>15083041</v>
      </c>
      <c r="E99" s="78">
        <v>61815742</v>
      </c>
      <c r="F99" s="80">
        <v>24.5799999999999</v>
      </c>
      <c r="G99" s="80">
        <v>7.2</v>
      </c>
      <c r="H99" s="78">
        <v>1788272</v>
      </c>
      <c r="I99" s="78">
        <v>72210497</v>
      </c>
      <c r="J99" s="78">
        <v>1852524</v>
      </c>
      <c r="K99" s="78">
        <v>69428887</v>
      </c>
      <c r="L99" s="78">
        <v>22330440.7115303</v>
      </c>
      <c r="M99" s="78">
        <v>353704</v>
      </c>
      <c r="N99" s="80">
        <v>63133.1302770971</v>
      </c>
      <c r="O99" s="10"/>
      <c r="P99" s="10"/>
      <c r="Q99" s="10"/>
      <c r="R99" s="10"/>
      <c r="S99" s="10"/>
      <c r="T99" s="10"/>
      <c r="U99" s="10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2.75">
      <c r="A100" s="75">
        <v>756</v>
      </c>
      <c r="B100" s="77" t="s">
        <v>119</v>
      </c>
      <c r="C100" s="80">
        <v>25.0999999999999</v>
      </c>
      <c r="D100" s="78">
        <v>1660600</v>
      </c>
      <c r="E100" s="78">
        <v>6615936</v>
      </c>
      <c r="F100" s="80">
        <v>20.35</v>
      </c>
      <c r="G100" s="80">
        <v>5.55</v>
      </c>
      <c r="H100" s="78">
        <v>109253</v>
      </c>
      <c r="I100" s="78">
        <v>4912042</v>
      </c>
      <c r="J100" s="78">
        <v>1674409</v>
      </c>
      <c r="K100" s="78">
        <v>7176351</v>
      </c>
      <c r="L100" s="78">
        <v>2763952.02708298</v>
      </c>
      <c r="M100" s="78">
        <v>41451</v>
      </c>
      <c r="N100" s="80">
        <v>66679.9842484616</v>
      </c>
      <c r="O100" s="10"/>
      <c r="P100" s="10"/>
      <c r="Q100" s="10"/>
      <c r="R100" s="10"/>
      <c r="S100" s="10"/>
      <c r="T100" s="10"/>
      <c r="U100" s="10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2.75">
      <c r="A101" s="75">
        <v>760</v>
      </c>
      <c r="B101" s="77" t="s">
        <v>120</v>
      </c>
      <c r="C101" s="80">
        <v>25</v>
      </c>
      <c r="D101" s="78">
        <v>2322862</v>
      </c>
      <c r="E101" s="78">
        <v>9291448</v>
      </c>
      <c r="F101" s="80">
        <v>31</v>
      </c>
      <c r="G101" s="80">
        <v>7.2</v>
      </c>
      <c r="H101" s="78">
        <v>317036.999999999</v>
      </c>
      <c r="I101" s="78">
        <v>9284556</v>
      </c>
      <c r="J101" s="78">
        <v>4057787</v>
      </c>
      <c r="K101" s="78">
        <v>10375253.9999999</v>
      </c>
      <c r="L101" s="78">
        <v>3784901.08413616</v>
      </c>
      <c r="M101" s="78">
        <v>56434</v>
      </c>
      <c r="N101" s="80">
        <v>67067.744340932</v>
      </c>
      <c r="O101" s="10"/>
      <c r="P101" s="10"/>
      <c r="Q101" s="10"/>
      <c r="R101" s="10"/>
      <c r="S101" s="10"/>
      <c r="T101" s="10"/>
      <c r="U101" s="10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2.75">
      <c r="A102" s="75">
        <v>766</v>
      </c>
      <c r="B102" s="77" t="s">
        <v>61</v>
      </c>
      <c r="C102" s="80">
        <v>25.4</v>
      </c>
      <c r="D102" s="78">
        <v>2018358</v>
      </c>
      <c r="E102" s="78">
        <v>7946291</v>
      </c>
      <c r="F102" s="80">
        <v>18</v>
      </c>
      <c r="G102" s="80">
        <v>3.2</v>
      </c>
      <c r="H102" s="78">
        <v>116634</v>
      </c>
      <c r="I102" s="78">
        <v>6028817</v>
      </c>
      <c r="J102" s="78">
        <v>2535826</v>
      </c>
      <c r="K102" s="78">
        <v>8647327</v>
      </c>
      <c r="L102" s="78">
        <v>2996586.95471282</v>
      </c>
      <c r="M102" s="78">
        <v>46749</v>
      </c>
      <c r="N102" s="80">
        <v>64099.4877903874</v>
      </c>
      <c r="O102" s="10"/>
      <c r="P102" s="10"/>
      <c r="Q102" s="10"/>
      <c r="R102" s="10"/>
      <c r="S102" s="10"/>
      <c r="T102" s="10"/>
      <c r="U102" s="10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2.75">
      <c r="A103" s="75">
        <v>773</v>
      </c>
      <c r="B103" s="77" t="s">
        <v>75</v>
      </c>
      <c r="C103" s="80">
        <v>25.8</v>
      </c>
      <c r="D103" s="78">
        <v>810120</v>
      </c>
      <c r="E103" s="78">
        <v>3140000</v>
      </c>
      <c r="F103" s="80">
        <v>24.68</v>
      </c>
      <c r="G103" s="80">
        <v>7.2</v>
      </c>
      <c r="H103" s="78">
        <v>44986</v>
      </c>
      <c r="I103" s="78">
        <v>1357946</v>
      </c>
      <c r="J103" s="78">
        <v>1593312</v>
      </c>
      <c r="K103" s="78">
        <v>3325984</v>
      </c>
      <c r="L103" s="78">
        <v>1490091.13052028</v>
      </c>
      <c r="M103" s="78">
        <v>20171</v>
      </c>
      <c r="N103" s="80">
        <v>73872.9428645225</v>
      </c>
      <c r="O103" s="10"/>
      <c r="P103" s="10"/>
      <c r="Q103" s="10"/>
      <c r="R103" s="10"/>
      <c r="S103" s="10"/>
      <c r="T103" s="10"/>
      <c r="U103" s="10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2.75">
      <c r="A104" s="75">
        <v>779</v>
      </c>
      <c r="B104" s="77" t="s">
        <v>76</v>
      </c>
      <c r="C104" s="80">
        <v>25.5</v>
      </c>
      <c r="D104" s="78">
        <v>1896439</v>
      </c>
      <c r="E104" s="78">
        <v>7437016</v>
      </c>
      <c r="F104" s="80">
        <v>20.68</v>
      </c>
      <c r="G104" s="80">
        <v>5.88</v>
      </c>
      <c r="H104" s="78">
        <v>105183</v>
      </c>
      <c r="I104" s="78">
        <v>4348014</v>
      </c>
      <c r="J104" s="78">
        <v>2596317</v>
      </c>
      <c r="K104" s="78">
        <v>7963690.99999999</v>
      </c>
      <c r="L104" s="78">
        <v>3191212.17875564</v>
      </c>
      <c r="M104" s="78">
        <v>45642</v>
      </c>
      <c r="N104" s="80">
        <v>69918.3247613086</v>
      </c>
      <c r="O104" s="10"/>
      <c r="P104" s="10"/>
      <c r="Q104" s="10"/>
      <c r="R104" s="10"/>
      <c r="S104" s="10"/>
      <c r="T104" s="10"/>
      <c r="U104" s="10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2.75">
      <c r="A105" s="75">
        <v>787</v>
      </c>
      <c r="B105" s="77" t="s">
        <v>77</v>
      </c>
      <c r="C105" s="80">
        <v>25.5</v>
      </c>
      <c r="D105" s="78">
        <v>1757713</v>
      </c>
      <c r="E105" s="78">
        <v>6892992</v>
      </c>
      <c r="F105" s="80">
        <v>23.75</v>
      </c>
      <c r="G105" s="80">
        <v>7.2</v>
      </c>
      <c r="H105" s="78">
        <v>110941</v>
      </c>
      <c r="I105" s="78">
        <v>3789745</v>
      </c>
      <c r="J105" s="78">
        <v>2907611</v>
      </c>
      <c r="K105" s="78">
        <v>7369755</v>
      </c>
      <c r="L105" s="78">
        <v>3036447.27975668</v>
      </c>
      <c r="M105" s="78">
        <v>43294</v>
      </c>
      <c r="N105" s="80">
        <v>70135.5217756892</v>
      </c>
      <c r="O105" s="10"/>
      <c r="P105" s="10"/>
      <c r="Q105" s="10"/>
      <c r="R105" s="10"/>
      <c r="S105" s="10"/>
      <c r="T105" s="10"/>
      <c r="U105" s="10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2.75">
      <c r="A106" s="75">
        <v>791</v>
      </c>
      <c r="B106" s="77" t="s">
        <v>78</v>
      </c>
      <c r="C106" s="80">
        <v>25.6999999999999</v>
      </c>
      <c r="D106" s="78">
        <v>4169639</v>
      </c>
      <c r="E106" s="78">
        <v>16224276</v>
      </c>
      <c r="F106" s="80">
        <v>23.7</v>
      </c>
      <c r="G106" s="80">
        <v>7.2</v>
      </c>
      <c r="H106" s="78">
        <v>319084</v>
      </c>
      <c r="I106" s="78">
        <v>12227012</v>
      </c>
      <c r="J106" s="78">
        <v>4070025</v>
      </c>
      <c r="K106" s="78">
        <v>17616567</v>
      </c>
      <c r="L106" s="78">
        <v>6466538.74888274</v>
      </c>
      <c r="M106" s="78">
        <v>97127</v>
      </c>
      <c r="N106" s="80">
        <v>66578.1785588224</v>
      </c>
      <c r="O106" s="10"/>
      <c r="P106" s="10"/>
      <c r="Q106" s="10"/>
      <c r="R106" s="10"/>
      <c r="S106" s="10"/>
      <c r="T106" s="10"/>
      <c r="U106" s="10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2.75">
      <c r="A107" s="75">
        <v>810</v>
      </c>
      <c r="B107" s="77" t="s">
        <v>130</v>
      </c>
      <c r="C107" s="80">
        <v>26.9</v>
      </c>
      <c r="D107" s="78">
        <v>1502995</v>
      </c>
      <c r="E107" s="78">
        <v>5587342</v>
      </c>
      <c r="F107" s="80">
        <v>31.23</v>
      </c>
      <c r="G107" s="80">
        <v>7.2</v>
      </c>
      <c r="H107" s="78">
        <v>99454</v>
      </c>
      <c r="I107" s="78">
        <v>2768499</v>
      </c>
      <c r="J107" s="78">
        <v>1804654</v>
      </c>
      <c r="K107" s="78">
        <v>5926853</v>
      </c>
      <c r="L107" s="78">
        <v>2490784.8566632</v>
      </c>
      <c r="M107" s="78">
        <v>36348</v>
      </c>
      <c r="N107" s="80">
        <v>68526.0497596348</v>
      </c>
      <c r="O107" s="10"/>
      <c r="P107" s="10"/>
      <c r="Q107" s="10"/>
      <c r="R107" s="10"/>
      <c r="S107" s="10"/>
      <c r="T107" s="10"/>
      <c r="U107" s="10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2.75">
      <c r="A108" s="75">
        <v>813</v>
      </c>
      <c r="B108" s="77" t="s">
        <v>79</v>
      </c>
      <c r="C108" s="80">
        <v>26.2</v>
      </c>
      <c r="D108" s="78">
        <v>2558027</v>
      </c>
      <c r="E108" s="78">
        <v>9763462</v>
      </c>
      <c r="F108" s="80">
        <v>29.9</v>
      </c>
      <c r="G108" s="80">
        <v>7.2</v>
      </c>
      <c r="H108" s="78">
        <v>260485</v>
      </c>
      <c r="I108" s="78">
        <v>8401916</v>
      </c>
      <c r="J108" s="78">
        <v>1287184</v>
      </c>
      <c r="K108" s="78">
        <v>10678716</v>
      </c>
      <c r="L108" s="78">
        <v>4199694.65990544</v>
      </c>
      <c r="M108" s="78">
        <v>59507</v>
      </c>
      <c r="N108" s="80">
        <v>70574.8006101037</v>
      </c>
      <c r="O108" s="10"/>
      <c r="P108" s="10"/>
      <c r="Q108" s="10"/>
      <c r="R108" s="10"/>
      <c r="S108" s="10"/>
      <c r="T108" s="10"/>
      <c r="U108" s="10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2.75">
      <c r="A109" s="75">
        <v>820</v>
      </c>
      <c r="B109" s="77" t="s">
        <v>121</v>
      </c>
      <c r="C109" s="80">
        <v>27</v>
      </c>
      <c r="D109" s="78">
        <v>1546307</v>
      </c>
      <c r="E109" s="78">
        <v>5727063</v>
      </c>
      <c r="F109" s="80">
        <v>22.82</v>
      </c>
      <c r="G109" s="80">
        <v>7.2</v>
      </c>
      <c r="H109" s="78">
        <v>76644</v>
      </c>
      <c r="I109" s="78">
        <v>2771331</v>
      </c>
      <c r="J109" s="78">
        <v>1861370</v>
      </c>
      <c r="K109" s="78">
        <v>6068429</v>
      </c>
      <c r="L109" s="78">
        <v>2616488.33990004</v>
      </c>
      <c r="M109" s="78">
        <v>36613</v>
      </c>
      <c r="N109" s="80">
        <v>71463.3692923292</v>
      </c>
      <c r="O109" s="10"/>
      <c r="P109" s="10"/>
      <c r="Q109" s="10"/>
      <c r="R109" s="10"/>
      <c r="S109" s="10"/>
      <c r="T109" s="10"/>
      <c r="U109" s="10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2.75">
      <c r="A110" s="75">
        <v>825</v>
      </c>
      <c r="B110" s="77" t="s">
        <v>81</v>
      </c>
      <c r="C110" s="80">
        <v>26.5</v>
      </c>
      <c r="D110" s="78">
        <v>74457</v>
      </c>
      <c r="E110" s="78">
        <v>280970</v>
      </c>
      <c r="F110" s="80">
        <v>34</v>
      </c>
      <c r="G110" s="80">
        <v>7.2</v>
      </c>
      <c r="H110" s="78">
        <v>16217</v>
      </c>
      <c r="I110" s="78">
        <v>452363</v>
      </c>
      <c r="J110" s="78">
        <v>116203</v>
      </c>
      <c r="K110" s="78">
        <v>331536</v>
      </c>
      <c r="L110" s="78">
        <v>133420.462029292</v>
      </c>
      <c r="M110" s="78">
        <v>1773</v>
      </c>
      <c r="N110" s="80">
        <v>75251.2476194544</v>
      </c>
      <c r="O110" s="10"/>
      <c r="P110" s="10"/>
      <c r="Q110" s="10"/>
      <c r="R110" s="10"/>
      <c r="S110" s="10"/>
      <c r="T110" s="10"/>
      <c r="U110" s="10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2.75">
      <c r="A111" s="75">
        <v>840</v>
      </c>
      <c r="B111" s="77" t="s">
        <v>122</v>
      </c>
      <c r="C111" s="80">
        <v>25.5</v>
      </c>
      <c r="D111" s="78">
        <v>1306101</v>
      </c>
      <c r="E111" s="78">
        <v>5121965</v>
      </c>
      <c r="F111" s="80">
        <v>26.086</v>
      </c>
      <c r="G111" s="80">
        <v>7.2</v>
      </c>
      <c r="H111" s="78">
        <v>81355</v>
      </c>
      <c r="I111" s="78">
        <v>2642328</v>
      </c>
      <c r="J111" s="78">
        <v>1725971</v>
      </c>
      <c r="K111" s="78">
        <v>5446101</v>
      </c>
      <c r="L111" s="78">
        <v>1919926.93063571</v>
      </c>
      <c r="M111" s="78">
        <v>30326</v>
      </c>
      <c r="N111" s="80">
        <v>63309.6000341526</v>
      </c>
      <c r="O111" s="10"/>
      <c r="P111" s="10"/>
      <c r="Q111" s="10"/>
      <c r="R111" s="10"/>
      <c r="S111" s="10"/>
      <c r="T111" s="10"/>
      <c r="U111" s="10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2.75">
      <c r="A112" s="75">
        <v>846</v>
      </c>
      <c r="B112" s="77" t="s">
        <v>123</v>
      </c>
      <c r="C112" s="80">
        <v>26.1</v>
      </c>
      <c r="D112" s="78">
        <v>1785741</v>
      </c>
      <c r="E112" s="78">
        <v>6841920</v>
      </c>
      <c r="F112" s="80">
        <v>34</v>
      </c>
      <c r="G112" s="80">
        <v>7.2</v>
      </c>
      <c r="H112" s="78">
        <v>149613</v>
      </c>
      <c r="I112" s="78">
        <v>4016393</v>
      </c>
      <c r="J112" s="78">
        <v>1813285</v>
      </c>
      <c r="K112" s="78">
        <v>7312354</v>
      </c>
      <c r="L112" s="78">
        <v>2834334.13030651</v>
      </c>
      <c r="M112" s="78">
        <v>41750</v>
      </c>
      <c r="N112" s="80">
        <v>67888.2426420722</v>
      </c>
      <c r="O112" s="10"/>
      <c r="P112" s="10"/>
      <c r="Q112" s="10"/>
      <c r="R112" s="10"/>
      <c r="S112" s="10"/>
      <c r="T112" s="10"/>
      <c r="U112" s="10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2.75">
      <c r="A113" s="75">
        <v>849</v>
      </c>
      <c r="B113" s="77" t="s">
        <v>124</v>
      </c>
      <c r="C113" s="80">
        <v>25.6999999999999</v>
      </c>
      <c r="D113" s="78">
        <v>1543676</v>
      </c>
      <c r="E113" s="78">
        <v>6006521</v>
      </c>
      <c r="F113" s="80">
        <v>32.85</v>
      </c>
      <c r="G113" s="80">
        <v>7.2</v>
      </c>
      <c r="H113" s="78">
        <v>200089</v>
      </c>
      <c r="I113" s="78">
        <v>5668215</v>
      </c>
      <c r="J113" s="78">
        <v>1928821</v>
      </c>
      <c r="K113" s="78">
        <v>6653116</v>
      </c>
      <c r="L113" s="78">
        <v>2577872.89813411</v>
      </c>
      <c r="M113" s="78">
        <v>38274</v>
      </c>
      <c r="N113" s="80">
        <v>67353.1091115147</v>
      </c>
      <c r="O113" s="10"/>
      <c r="P113" s="10"/>
      <c r="Q113" s="10"/>
      <c r="R113" s="10"/>
      <c r="S113" s="10"/>
      <c r="T113" s="10"/>
      <c r="U113" s="10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2.75">
      <c r="A114" s="75">
        <v>851</v>
      </c>
      <c r="B114" s="77" t="s">
        <v>125</v>
      </c>
      <c r="C114" s="80">
        <v>25.4</v>
      </c>
      <c r="D114" s="78">
        <v>9085538</v>
      </c>
      <c r="E114" s="78">
        <v>35769835</v>
      </c>
      <c r="F114" s="80">
        <v>26.95</v>
      </c>
      <c r="G114" s="80">
        <v>7.2</v>
      </c>
      <c r="H114" s="78">
        <v>780664</v>
      </c>
      <c r="I114" s="78">
        <v>28260958</v>
      </c>
      <c r="J114" s="78">
        <v>2643149</v>
      </c>
      <c r="K114" s="78">
        <v>38802082</v>
      </c>
      <c r="L114" s="78">
        <v>14093000.7731833</v>
      </c>
      <c r="M114" s="78">
        <v>218217</v>
      </c>
      <c r="N114" s="80">
        <v>64582.5062812858</v>
      </c>
      <c r="O114" s="10"/>
      <c r="P114" s="10"/>
      <c r="Q114" s="10"/>
      <c r="R114" s="10"/>
      <c r="S114" s="10"/>
      <c r="T114" s="10"/>
      <c r="U114" s="10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2.75">
      <c r="A115" s="75">
        <v>860</v>
      </c>
      <c r="B115" s="77" t="s">
        <v>80</v>
      </c>
      <c r="C115" s="80">
        <v>26.1</v>
      </c>
      <c r="D115" s="78">
        <v>2705150</v>
      </c>
      <c r="E115" s="78">
        <v>10364559</v>
      </c>
      <c r="F115" s="80">
        <v>34</v>
      </c>
      <c r="G115" s="80">
        <v>7.2</v>
      </c>
      <c r="H115" s="78">
        <v>285077</v>
      </c>
      <c r="I115" s="78">
        <v>7884367.99999999</v>
      </c>
      <c r="J115" s="78">
        <v>2362281</v>
      </c>
      <c r="K115" s="78">
        <v>11255150</v>
      </c>
      <c r="L115" s="78">
        <v>4462675.96485799</v>
      </c>
      <c r="M115" s="78">
        <v>64218</v>
      </c>
      <c r="N115" s="80">
        <v>69492.6027727115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6:12" ht="12.75">
      <c r="F120"/>
      <c r="G120"/>
      <c r="H120"/>
      <c r="I120"/>
      <c r="J120"/>
      <c r="K120"/>
      <c r="L120"/>
    </row>
    <row r="121" ht="12.75">
      <c r="F121"/>
    </row>
    <row r="122" spans="9:12" ht="12.75">
      <c r="I122"/>
      <c r="J122"/>
      <c r="K122"/>
      <c r="L122"/>
    </row>
    <row r="123" spans="9:12" ht="12.75">
      <c r="I123"/>
      <c r="J123"/>
      <c r="K123"/>
      <c r="L123"/>
    </row>
    <row r="124" spans="9:12" ht="12.75">
      <c r="I124"/>
      <c r="J124"/>
      <c r="K124"/>
      <c r="L124"/>
    </row>
    <row r="125" spans="9:12" ht="12.75">
      <c r="I125"/>
      <c r="J125"/>
      <c r="K125"/>
      <c r="L125"/>
    </row>
    <row r="126" spans="9:12" ht="12.75">
      <c r="I126"/>
      <c r="J126"/>
      <c r="K126"/>
      <c r="L126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2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48.7109375" style="1" customWidth="1"/>
    <col min="3" max="4" width="18.421875" style="1" customWidth="1"/>
    <col min="5" max="16384" width="9.140625" style="1" customWidth="1"/>
  </cols>
  <sheetData>
    <row r="1" spans="1:17" s="7" customFormat="1" ht="16.5" customHeight="1">
      <c r="A1" s="17" t="str">
        <f>"Bilagstabel 3: Parametre til statsgaranti "&amp;aar</f>
        <v>Bilagstabel 3: Parametre til statsgaranti 2021</v>
      </c>
      <c r="B1" s="18"/>
      <c r="C1" s="19"/>
      <c r="D1" s="19"/>
      <c r="O1"/>
      <c r="P1"/>
      <c r="Q1"/>
    </row>
    <row r="2" spans="1:17" ht="12.75">
      <c r="A2" s="20"/>
      <c r="B2" s="20"/>
      <c r="C2" s="21"/>
      <c r="D2" s="21"/>
      <c r="O2"/>
      <c r="P2"/>
      <c r="Q2"/>
    </row>
    <row r="3" spans="1:17" ht="12.75">
      <c r="A3" s="22"/>
      <c r="B3" s="61"/>
      <c r="C3" s="67" t="s">
        <v>391</v>
      </c>
      <c r="D3" s="62" t="s">
        <v>353</v>
      </c>
      <c r="O3"/>
      <c r="P3"/>
      <c r="Q3"/>
    </row>
    <row r="4" spans="1:17" ht="12.75">
      <c r="A4" s="14"/>
      <c r="B4" s="63"/>
      <c r="C4" s="68" t="s">
        <v>393</v>
      </c>
      <c r="D4" s="64" t="s">
        <v>394</v>
      </c>
      <c r="O4"/>
      <c r="P4"/>
      <c r="Q4"/>
    </row>
    <row r="5" spans="1:17" ht="12.75">
      <c r="A5" s="14"/>
      <c r="B5" s="63"/>
      <c r="C5" s="69" t="s">
        <v>392</v>
      </c>
      <c r="D5" s="64" t="s">
        <v>395</v>
      </c>
      <c r="O5"/>
      <c r="P5"/>
      <c r="Q5"/>
    </row>
    <row r="6" spans="1:17" ht="12.75">
      <c r="A6" s="14"/>
      <c r="B6" s="63"/>
      <c r="C6" s="69"/>
      <c r="D6" s="65" t="s">
        <v>392</v>
      </c>
      <c r="O6"/>
      <c r="P6"/>
      <c r="Q6"/>
    </row>
    <row r="7" spans="1:17" ht="12.75">
      <c r="A7" s="15"/>
      <c r="B7" s="63"/>
      <c r="C7" s="69"/>
      <c r="D7" s="65"/>
      <c r="O7"/>
      <c r="P7"/>
      <c r="Q7"/>
    </row>
    <row r="8" spans="1:17" ht="13.5" thickBot="1">
      <c r="A8" s="16"/>
      <c r="B8" s="66"/>
      <c r="C8" s="116" t="s">
        <v>10</v>
      </c>
      <c r="D8" s="117" t="s">
        <v>11</v>
      </c>
      <c r="O8"/>
      <c r="P8"/>
      <c r="Q8"/>
    </row>
    <row r="9" spans="1:17" ht="13.5" thickTop="1">
      <c r="A9" s="20"/>
      <c r="B9" s="61"/>
      <c r="C9" s="71"/>
      <c r="D9" s="83"/>
      <c r="O9"/>
      <c r="P9"/>
      <c r="Q9"/>
    </row>
    <row r="10" spans="1:17" ht="12.75">
      <c r="A10" s="22"/>
      <c r="B10" s="86" t="s">
        <v>326</v>
      </c>
      <c r="C10" s="87">
        <v>87385900</v>
      </c>
      <c r="D10" s="110">
        <v>0</v>
      </c>
      <c r="O10"/>
      <c r="P10"/>
      <c r="Q10"/>
    </row>
    <row r="11" spans="1:17" ht="12.75">
      <c r="A11" s="14"/>
      <c r="B11" s="84" t="s">
        <v>327</v>
      </c>
      <c r="C11" s="72">
        <v>3000000</v>
      </c>
      <c r="D11" s="109">
        <v>0</v>
      </c>
      <c r="H11" s="108">
        <v>0</v>
      </c>
      <c r="O11"/>
      <c r="P11"/>
      <c r="Q11"/>
    </row>
    <row r="12" spans="1:17" ht="12.75">
      <c r="A12" s="14"/>
      <c r="B12" s="84" t="s">
        <v>328</v>
      </c>
      <c r="C12" s="72">
        <v>1000000</v>
      </c>
      <c r="D12" s="109">
        <v>0</v>
      </c>
      <c r="O12"/>
      <c r="P12"/>
      <c r="Q12"/>
    </row>
    <row r="13" spans="1:17" ht="12.75">
      <c r="A13" s="14"/>
      <c r="B13" s="84" t="s">
        <v>329</v>
      </c>
      <c r="C13" s="72">
        <v>830700</v>
      </c>
      <c r="D13" s="109">
        <v>0</v>
      </c>
      <c r="O13"/>
      <c r="P13"/>
      <c r="Q13"/>
    </row>
    <row r="14" spans="1:17" ht="12.75">
      <c r="A14" s="13"/>
      <c r="B14" s="84" t="s">
        <v>330</v>
      </c>
      <c r="C14" s="72">
        <v>92216600</v>
      </c>
      <c r="D14" s="109">
        <v>0</v>
      </c>
      <c r="O14"/>
      <c r="P14"/>
      <c r="Q14"/>
    </row>
    <row r="15" spans="1:17" ht="12.75">
      <c r="A15" s="13"/>
      <c r="B15" s="84" t="s">
        <v>331</v>
      </c>
      <c r="C15" s="72">
        <v>1042289824</v>
      </c>
      <c r="D15" s="109">
        <v>0</v>
      </c>
      <c r="O15"/>
      <c r="P15"/>
      <c r="Q15"/>
    </row>
    <row r="16" spans="1:17" ht="12.75">
      <c r="A16" s="13"/>
      <c r="B16" s="84" t="s">
        <v>332</v>
      </c>
      <c r="C16" s="72">
        <v>139529066</v>
      </c>
      <c r="D16" s="109">
        <v>0</v>
      </c>
      <c r="O16"/>
      <c r="P16"/>
      <c r="Q16"/>
    </row>
    <row r="17" spans="1:17" ht="12.75">
      <c r="A17" s="13"/>
      <c r="B17" s="84" t="s">
        <v>333</v>
      </c>
      <c r="C17" s="72">
        <v>3833307</v>
      </c>
      <c r="D17" s="118">
        <v>0.027473198791476</v>
      </c>
      <c r="O17"/>
      <c r="P17"/>
      <c r="Q17"/>
    </row>
    <row r="18" spans="1:17" ht="12.75">
      <c r="A18" s="13"/>
      <c r="B18" s="84" t="s">
        <v>334</v>
      </c>
      <c r="C18" s="72">
        <v>1082815282</v>
      </c>
      <c r="D18" s="109">
        <v>0</v>
      </c>
      <c r="O18"/>
      <c r="P18"/>
      <c r="Q18"/>
    </row>
    <row r="19" spans="1:17" ht="12.75">
      <c r="A19" s="13"/>
      <c r="B19" s="84" t="s">
        <v>335</v>
      </c>
      <c r="C19" s="72">
        <v>113397921</v>
      </c>
      <c r="D19" s="118">
        <v>0.104725083599303</v>
      </c>
      <c r="O19"/>
      <c r="P19"/>
      <c r="Q19"/>
    </row>
    <row r="20" spans="1:17" ht="12.75">
      <c r="A20" s="13"/>
      <c r="B20" s="84" t="s">
        <v>336</v>
      </c>
      <c r="C20" s="72">
        <v>1159521052</v>
      </c>
      <c r="D20" s="109">
        <v>0</v>
      </c>
      <c r="O20"/>
      <c r="P20"/>
      <c r="Q20"/>
    </row>
    <row r="21" spans="1:17" ht="12.75">
      <c r="A21" s="13"/>
      <c r="B21" s="84" t="s">
        <v>337</v>
      </c>
      <c r="C21" s="72">
        <v>289344428</v>
      </c>
      <c r="D21" s="109">
        <v>0</v>
      </c>
      <c r="O21"/>
      <c r="P21"/>
      <c r="Q21"/>
    </row>
    <row r="22" spans="1:17" ht="12.75">
      <c r="A22" s="13"/>
      <c r="B22" s="84" t="s">
        <v>338</v>
      </c>
      <c r="C22" s="109">
        <v>0</v>
      </c>
      <c r="D22" s="111">
        <v>0.24953788247391</v>
      </c>
      <c r="O22"/>
      <c r="P22"/>
      <c r="Q22"/>
    </row>
    <row r="23" spans="1:17" ht="12.75">
      <c r="A23" s="13"/>
      <c r="B23" s="84" t="s">
        <v>339</v>
      </c>
      <c r="C23" s="72">
        <v>5844938</v>
      </c>
      <c r="D23" s="109">
        <v>0</v>
      </c>
      <c r="O23"/>
      <c r="P23"/>
      <c r="Q23"/>
    </row>
    <row r="24" spans="1:17" ht="12.75">
      <c r="A24" s="13"/>
      <c r="B24" s="84" t="s">
        <v>340</v>
      </c>
      <c r="C24" s="72">
        <v>198380.385215377</v>
      </c>
      <c r="D24" s="109">
        <v>0</v>
      </c>
      <c r="O24"/>
      <c r="P24"/>
      <c r="Q24"/>
    </row>
    <row r="25" spans="1:17" ht="12.75">
      <c r="A25" s="13"/>
      <c r="B25" s="84" t="s">
        <v>341</v>
      </c>
      <c r="C25" s="72">
        <v>178542.34669384</v>
      </c>
      <c r="D25" s="112">
        <v>0.9</v>
      </c>
      <c r="O25"/>
      <c r="P25"/>
      <c r="Q25"/>
    </row>
    <row r="26" spans="1:17" ht="12.75">
      <c r="A26" s="13"/>
      <c r="B26" s="84" t="s">
        <v>342</v>
      </c>
      <c r="C26" s="72">
        <v>247975.481519222</v>
      </c>
      <c r="D26" s="112">
        <v>1.25</v>
      </c>
      <c r="O26"/>
      <c r="P26"/>
      <c r="Q26"/>
    </row>
    <row r="27" spans="1:17" ht="12.75">
      <c r="A27" s="13"/>
      <c r="B27" s="84" t="s">
        <v>343</v>
      </c>
      <c r="C27" s="109">
        <v>0</v>
      </c>
      <c r="D27" s="113">
        <v>0.75</v>
      </c>
      <c r="O27"/>
      <c r="P27"/>
      <c r="Q27"/>
    </row>
    <row r="28" spans="1:17" ht="12.75">
      <c r="A28" s="13"/>
      <c r="B28" s="84" t="s">
        <v>344</v>
      </c>
      <c r="C28" s="109">
        <v>0</v>
      </c>
      <c r="D28" s="113">
        <v>0.2</v>
      </c>
      <c r="O28"/>
      <c r="P28"/>
      <c r="Q28"/>
    </row>
    <row r="29" spans="1:17" ht="12.75">
      <c r="A29" s="53"/>
      <c r="B29" s="84" t="s">
        <v>345</v>
      </c>
      <c r="C29" s="109">
        <v>0</v>
      </c>
      <c r="D29" s="114">
        <v>0.18</v>
      </c>
      <c r="O29"/>
      <c r="P29"/>
      <c r="Q29"/>
    </row>
    <row r="30" spans="1:17" ht="12.75">
      <c r="A30"/>
      <c r="B30" s="84" t="s">
        <v>389</v>
      </c>
      <c r="C30" s="109">
        <v>0</v>
      </c>
      <c r="D30" s="113">
        <v>0.93</v>
      </c>
      <c r="O30"/>
      <c r="P30"/>
      <c r="Q30"/>
    </row>
    <row r="31" spans="1:17" ht="12.75">
      <c r="A31"/>
      <c r="B31" s="84" t="s">
        <v>390</v>
      </c>
      <c r="C31" s="109">
        <v>0</v>
      </c>
      <c r="D31" s="113">
        <v>0.2325</v>
      </c>
      <c r="O31"/>
      <c r="P31"/>
      <c r="Q31"/>
    </row>
    <row r="32" spans="1:17" ht="12.75">
      <c r="A32"/>
      <c r="B32" s="84" t="s">
        <v>346</v>
      </c>
      <c r="C32" s="73">
        <v>392945000</v>
      </c>
      <c r="D32" s="109">
        <v>0</v>
      </c>
      <c r="O32"/>
      <c r="P32"/>
      <c r="Q32"/>
    </row>
    <row r="33" spans="1:17" ht="12.75">
      <c r="A33"/>
      <c r="B33" s="84" t="s">
        <v>347</v>
      </c>
      <c r="C33" s="73">
        <v>5844938</v>
      </c>
      <c r="D33" s="109">
        <v>0</v>
      </c>
      <c r="O33"/>
      <c r="P33"/>
      <c r="Q33"/>
    </row>
    <row r="34" spans="1:17" ht="12.75">
      <c r="A34"/>
      <c r="B34" s="84" t="s">
        <v>348</v>
      </c>
      <c r="C34" s="73">
        <v>67228.2580242938</v>
      </c>
      <c r="D34" s="109">
        <v>0</v>
      </c>
      <c r="O34"/>
      <c r="P34"/>
      <c r="Q34"/>
    </row>
    <row r="35" spans="1:17" ht="12.75">
      <c r="A35"/>
      <c r="B35" s="84" t="s">
        <v>349</v>
      </c>
      <c r="C35" s="109">
        <v>0</v>
      </c>
      <c r="D35" s="113">
        <v>0.93</v>
      </c>
      <c r="O35"/>
      <c r="P35"/>
      <c r="Q35"/>
    </row>
    <row r="36" spans="1:17" ht="12.75">
      <c r="A36"/>
      <c r="B36" s="84" t="s">
        <v>350</v>
      </c>
      <c r="C36" s="109">
        <v>0</v>
      </c>
      <c r="D36" s="113">
        <v>0.02</v>
      </c>
      <c r="O36"/>
      <c r="P36"/>
      <c r="Q36"/>
    </row>
    <row r="37" spans="1:17" ht="12.75">
      <c r="A37"/>
      <c r="B37" s="84" t="s">
        <v>351</v>
      </c>
      <c r="C37" s="73">
        <v>2658000</v>
      </c>
      <c r="D37" s="109">
        <v>0</v>
      </c>
      <c r="O37"/>
      <c r="P37"/>
      <c r="Q37"/>
    </row>
    <row r="38" spans="1:17" ht="12.75">
      <c r="A38"/>
      <c r="B38" s="84" t="s">
        <v>352</v>
      </c>
      <c r="C38" s="73">
        <v>-2658000</v>
      </c>
      <c r="D38" s="109">
        <v>0</v>
      </c>
      <c r="O38"/>
      <c r="P38"/>
      <c r="Q38"/>
    </row>
    <row r="39" spans="1:17" ht="12.75">
      <c r="A39"/>
      <c r="B39" s="84" t="s">
        <v>354</v>
      </c>
      <c r="C39" s="75">
        <v>2021</v>
      </c>
      <c r="D39" s="109">
        <v>0</v>
      </c>
      <c r="O39"/>
      <c r="P39"/>
      <c r="Q39"/>
    </row>
    <row r="40" spans="1:17" ht="12.75">
      <c r="A40"/>
      <c r="B40" s="84" t="s">
        <v>355</v>
      </c>
      <c r="C40" s="73">
        <v>-352740</v>
      </c>
      <c r="D40" s="109">
        <v>0</v>
      </c>
      <c r="O40"/>
      <c r="P40"/>
      <c r="Q40"/>
    </row>
    <row r="41" spans="1:17" ht="12.75">
      <c r="A41"/>
      <c r="B41" s="84" t="s">
        <v>356</v>
      </c>
      <c r="C41" s="73">
        <v>671376</v>
      </c>
      <c r="D41" s="109">
        <v>0</v>
      </c>
      <c r="O41"/>
      <c r="P41"/>
      <c r="Q41"/>
    </row>
    <row r="42" spans="1:17" ht="12.75">
      <c r="A42"/>
      <c r="B42" s="85" t="s">
        <v>357</v>
      </c>
      <c r="C42" s="74">
        <v>-197544</v>
      </c>
      <c r="D42" s="115">
        <v>0</v>
      </c>
      <c r="O42"/>
      <c r="P42"/>
      <c r="Q42"/>
    </row>
    <row r="43" spans="1:17" ht="12.75">
      <c r="A43"/>
      <c r="B43"/>
      <c r="C43" s="10"/>
      <c r="D43" s="10"/>
      <c r="O43"/>
      <c r="P43"/>
      <c r="Q43"/>
    </row>
    <row r="44" spans="1:17" ht="12.75">
      <c r="A44"/>
      <c r="B44"/>
      <c r="C44" s="10"/>
      <c r="D44" s="10"/>
      <c r="O44"/>
      <c r="P44"/>
      <c r="Q44"/>
    </row>
    <row r="45" spans="1:17" ht="12.75">
      <c r="A45"/>
      <c r="B45"/>
      <c r="C45" s="10"/>
      <c r="D45" s="10"/>
      <c r="O45"/>
      <c r="P45"/>
      <c r="Q45"/>
    </row>
    <row r="46" spans="1:17" ht="12.75">
      <c r="A46"/>
      <c r="B46"/>
      <c r="C46" s="10"/>
      <c r="D46" s="10"/>
      <c r="O46"/>
      <c r="P46"/>
      <c r="Q46"/>
    </row>
    <row r="47" spans="1:17" ht="12.75">
      <c r="A47"/>
      <c r="B47"/>
      <c r="C47" s="10"/>
      <c r="D47" s="10"/>
      <c r="O47"/>
      <c r="P47"/>
      <c r="Q47"/>
    </row>
    <row r="48" spans="1:17" ht="12.75">
      <c r="A48"/>
      <c r="B48"/>
      <c r="C48" s="10"/>
      <c r="D48" s="10"/>
      <c r="O48"/>
      <c r="P48"/>
      <c r="Q48"/>
    </row>
    <row r="49" spans="1:17" ht="12.75">
      <c r="A49"/>
      <c r="B49"/>
      <c r="C49" s="10"/>
      <c r="D49" s="10"/>
      <c r="O49"/>
      <c r="P49"/>
      <c r="Q49"/>
    </row>
    <row r="50" spans="1:17" ht="12.75">
      <c r="A50"/>
      <c r="B50"/>
      <c r="C50" s="10"/>
      <c r="D50" s="10"/>
      <c r="O50"/>
      <c r="P50"/>
      <c r="Q50"/>
    </row>
    <row r="51" spans="1:17" ht="12.75">
      <c r="A51"/>
      <c r="B51"/>
      <c r="C51" s="10"/>
      <c r="D51" s="10"/>
      <c r="O51"/>
      <c r="P51"/>
      <c r="Q51"/>
    </row>
    <row r="52" spans="1:17" ht="12.75">
      <c r="A52"/>
      <c r="B52"/>
      <c r="C52" s="10"/>
      <c r="D52" s="10"/>
      <c r="O52"/>
      <c r="P52"/>
      <c r="Q52"/>
    </row>
    <row r="53" spans="1:17" ht="12.75">
      <c r="A53"/>
      <c r="B53"/>
      <c r="C53" s="10"/>
      <c r="D53" s="10"/>
      <c r="O53"/>
      <c r="P53"/>
      <c r="Q53"/>
    </row>
    <row r="54" spans="1:17" ht="12.75">
      <c r="A54"/>
      <c r="B54"/>
      <c r="C54" s="10"/>
      <c r="D54" s="10"/>
      <c r="O54"/>
      <c r="P54"/>
      <c r="Q54"/>
    </row>
    <row r="55" spans="1:17" ht="12.75">
      <c r="A55"/>
      <c r="B55"/>
      <c r="C55" s="10"/>
      <c r="D55" s="10"/>
      <c r="O55"/>
      <c r="P55"/>
      <c r="Q55"/>
    </row>
    <row r="56" spans="1:17" ht="12.75">
      <c r="A56"/>
      <c r="B56"/>
      <c r="C56" s="10"/>
      <c r="D56" s="10"/>
      <c r="O56"/>
      <c r="P56"/>
      <c r="Q56"/>
    </row>
    <row r="57" spans="1:17" ht="12.75">
      <c r="A57"/>
      <c r="B57"/>
      <c r="C57" s="10"/>
      <c r="D57" s="10"/>
      <c r="O57"/>
      <c r="P57"/>
      <c r="Q57"/>
    </row>
    <row r="58" spans="1:17" ht="12.75">
      <c r="A58"/>
      <c r="B58"/>
      <c r="C58" s="10"/>
      <c r="D58" s="10"/>
      <c r="O58"/>
      <c r="P58"/>
      <c r="Q58"/>
    </row>
    <row r="59" spans="1:17" ht="12.75">
      <c r="A59"/>
      <c r="B59"/>
      <c r="C59" s="10"/>
      <c r="D59" s="10"/>
      <c r="O59"/>
      <c r="P59"/>
      <c r="Q59"/>
    </row>
    <row r="60" spans="1:17" ht="12.75">
      <c r="A60"/>
      <c r="B60"/>
      <c r="C60" s="10"/>
      <c r="D60" s="10"/>
      <c r="O60"/>
      <c r="P60"/>
      <c r="Q60"/>
    </row>
    <row r="61" spans="1:17" ht="12.75">
      <c r="A61"/>
      <c r="B61"/>
      <c r="C61" s="10"/>
      <c r="D61" s="10"/>
      <c r="O61"/>
      <c r="P61"/>
      <c r="Q61"/>
    </row>
    <row r="62" spans="1:17" ht="12.75">
      <c r="A62"/>
      <c r="B62"/>
      <c r="C62" s="10"/>
      <c r="D62" s="10"/>
      <c r="O62"/>
      <c r="P62"/>
      <c r="Q62"/>
    </row>
    <row r="63" spans="1:17" ht="12.75">
      <c r="A63"/>
      <c r="B63"/>
      <c r="C63" s="10"/>
      <c r="D63" s="10"/>
      <c r="O63"/>
      <c r="P63"/>
      <c r="Q63"/>
    </row>
    <row r="64" spans="1:17" ht="12.75">
      <c r="A64"/>
      <c r="B64"/>
      <c r="C64" s="10"/>
      <c r="D64" s="10"/>
      <c r="O64"/>
      <c r="P64"/>
      <c r="Q64"/>
    </row>
    <row r="65" spans="1:17" ht="12.75">
      <c r="A65"/>
      <c r="B65"/>
      <c r="C65" s="10"/>
      <c r="D65" s="10"/>
      <c r="O65"/>
      <c r="P65"/>
      <c r="Q65"/>
    </row>
    <row r="66" spans="1:17" ht="12.75">
      <c r="A66"/>
      <c r="B66"/>
      <c r="C66" s="10"/>
      <c r="D66" s="10"/>
      <c r="O66"/>
      <c r="P66"/>
      <c r="Q66"/>
    </row>
    <row r="67" spans="1:17" ht="12.75">
      <c r="A67"/>
      <c r="B67"/>
      <c r="C67" s="10"/>
      <c r="D67" s="10"/>
      <c r="O67"/>
      <c r="P67"/>
      <c r="Q67"/>
    </row>
    <row r="68" spans="1:17" ht="12.75">
      <c r="A68"/>
      <c r="B68"/>
      <c r="C68" s="10"/>
      <c r="D68" s="10"/>
      <c r="O68"/>
      <c r="P68"/>
      <c r="Q68"/>
    </row>
    <row r="69" spans="1:17" ht="12.75">
      <c r="A69"/>
      <c r="B69"/>
      <c r="C69" s="10"/>
      <c r="D69" s="10"/>
      <c r="O69"/>
      <c r="P69"/>
      <c r="Q69"/>
    </row>
    <row r="70" spans="1:17" ht="12.75">
      <c r="A70"/>
      <c r="B70"/>
      <c r="C70" s="10"/>
      <c r="D70" s="10"/>
      <c r="O70"/>
      <c r="P70"/>
      <c r="Q70"/>
    </row>
    <row r="71" spans="1:17" ht="12.75">
      <c r="A71"/>
      <c r="B71"/>
      <c r="C71" s="10"/>
      <c r="D71" s="10"/>
      <c r="O71"/>
      <c r="P71"/>
      <c r="Q71"/>
    </row>
    <row r="72" spans="1:17" ht="12.75">
      <c r="A72"/>
      <c r="B72"/>
      <c r="C72" s="10"/>
      <c r="D72" s="10"/>
      <c r="O72"/>
      <c r="P72"/>
      <c r="Q72"/>
    </row>
    <row r="73" spans="1:17" ht="12.75">
      <c r="A73"/>
      <c r="B73"/>
      <c r="C73" s="10"/>
      <c r="D73" s="10"/>
      <c r="O73"/>
      <c r="P73"/>
      <c r="Q73"/>
    </row>
    <row r="74" spans="1:17" ht="12.75">
      <c r="A74"/>
      <c r="B74"/>
      <c r="C74" s="10"/>
      <c r="D74" s="10"/>
      <c r="O74"/>
      <c r="P74"/>
      <c r="Q74"/>
    </row>
    <row r="75" spans="1:17" ht="12.75">
      <c r="A75"/>
      <c r="B75"/>
      <c r="C75" s="10"/>
      <c r="D75" s="10"/>
      <c r="O75"/>
      <c r="P75"/>
      <c r="Q75"/>
    </row>
    <row r="76" spans="1:17" ht="12.75">
      <c r="A76"/>
      <c r="B76"/>
      <c r="C76" s="10"/>
      <c r="D76" s="10"/>
      <c r="O76"/>
      <c r="P76"/>
      <c r="Q76"/>
    </row>
    <row r="77" spans="1:17" ht="12.75">
      <c r="A77"/>
      <c r="B77"/>
      <c r="C77" s="10"/>
      <c r="D77" s="10"/>
      <c r="O77"/>
      <c r="P77"/>
      <c r="Q77"/>
    </row>
    <row r="78" spans="1:17" ht="12.75">
      <c r="A78"/>
      <c r="B78"/>
      <c r="C78" s="10"/>
      <c r="D78" s="10"/>
      <c r="O78"/>
      <c r="P78"/>
      <c r="Q78"/>
    </row>
    <row r="79" spans="1:17" ht="12.75">
      <c r="A79"/>
      <c r="B79"/>
      <c r="C79" s="10"/>
      <c r="D79" s="10"/>
      <c r="O79"/>
      <c r="P79"/>
      <c r="Q79"/>
    </row>
    <row r="80" spans="1:17" ht="12.75">
      <c r="A80"/>
      <c r="B80"/>
      <c r="C80" s="10"/>
      <c r="D80" s="10"/>
      <c r="O80"/>
      <c r="P80"/>
      <c r="Q80"/>
    </row>
    <row r="81" spans="1:17" ht="12.75">
      <c r="A81"/>
      <c r="B81"/>
      <c r="C81" s="10"/>
      <c r="D81" s="10"/>
      <c r="O81"/>
      <c r="P81"/>
      <c r="Q81"/>
    </row>
    <row r="82" spans="1:17" ht="12.75">
      <c r="A82"/>
      <c r="B82"/>
      <c r="C82" s="10"/>
      <c r="D82" s="10"/>
      <c r="O82"/>
      <c r="P82"/>
      <c r="Q82"/>
    </row>
    <row r="83" spans="1:17" ht="12.75">
      <c r="A83"/>
      <c r="B83"/>
      <c r="C83" s="10"/>
      <c r="D83" s="10"/>
      <c r="O83"/>
      <c r="P83"/>
      <c r="Q83"/>
    </row>
    <row r="84" spans="1:17" ht="12.75">
      <c r="A84"/>
      <c r="B84"/>
      <c r="C84" s="10"/>
      <c r="D84" s="10"/>
      <c r="O84"/>
      <c r="P84"/>
      <c r="Q84"/>
    </row>
    <row r="85" spans="1:17" ht="12.75">
      <c r="A85"/>
      <c r="B85"/>
      <c r="C85" s="10"/>
      <c r="D85" s="10"/>
      <c r="O85"/>
      <c r="P85"/>
      <c r="Q85"/>
    </row>
    <row r="86" spans="1:17" ht="12.75">
      <c r="A86"/>
      <c r="B86"/>
      <c r="C86" s="10"/>
      <c r="D86" s="10"/>
      <c r="O86"/>
      <c r="P86"/>
      <c r="Q86"/>
    </row>
    <row r="87" spans="1:17" ht="12.75">
      <c r="A87"/>
      <c r="B87"/>
      <c r="C87" s="10"/>
      <c r="D87" s="10"/>
      <c r="O87"/>
      <c r="P87"/>
      <c r="Q87"/>
    </row>
    <row r="88" spans="1:17" ht="12.75">
      <c r="A88"/>
      <c r="B88"/>
      <c r="C88" s="10"/>
      <c r="D88" s="10"/>
      <c r="O88"/>
      <c r="P88"/>
      <c r="Q88"/>
    </row>
    <row r="89" spans="1:17" ht="12.75">
      <c r="A89"/>
      <c r="B89"/>
      <c r="C89" s="10"/>
      <c r="D89" s="10"/>
      <c r="O89"/>
      <c r="P89"/>
      <c r="Q89"/>
    </row>
    <row r="90" spans="1:17" ht="12.75">
      <c r="A90"/>
      <c r="B90"/>
      <c r="C90" s="10"/>
      <c r="D90" s="10"/>
      <c r="O90"/>
      <c r="P90"/>
      <c r="Q90"/>
    </row>
    <row r="91" spans="1:17" ht="12.75">
      <c r="A91"/>
      <c r="B91"/>
      <c r="C91" s="10"/>
      <c r="D91" s="10"/>
      <c r="O91"/>
      <c r="P91"/>
      <c r="Q91"/>
    </row>
    <row r="92" spans="1:17" ht="12.75">
      <c r="A92"/>
      <c r="B92"/>
      <c r="C92" s="10"/>
      <c r="D92" s="10"/>
      <c r="O92"/>
      <c r="P92"/>
      <c r="Q92"/>
    </row>
    <row r="93" spans="1:17" ht="12.75">
      <c r="A93"/>
      <c r="B93"/>
      <c r="C93" s="10"/>
      <c r="D93" s="10"/>
      <c r="O93"/>
      <c r="P93"/>
      <c r="Q93"/>
    </row>
    <row r="94" spans="1:17" ht="12.75">
      <c r="A94"/>
      <c r="B94"/>
      <c r="C94" s="10"/>
      <c r="D94" s="10"/>
      <c r="O94"/>
      <c r="P94"/>
      <c r="Q94"/>
    </row>
    <row r="95" spans="1:17" ht="12.75">
      <c r="A95"/>
      <c r="B95"/>
      <c r="C95" s="10"/>
      <c r="D95" s="10"/>
      <c r="O95"/>
      <c r="P95"/>
      <c r="Q95"/>
    </row>
    <row r="96" spans="1:17" ht="12.75">
      <c r="A96"/>
      <c r="B96"/>
      <c r="C96" s="10"/>
      <c r="D96" s="10"/>
      <c r="O96"/>
      <c r="P96"/>
      <c r="Q96"/>
    </row>
    <row r="97" spans="1:17" ht="12.75">
      <c r="A97"/>
      <c r="B97"/>
      <c r="C97" s="10"/>
      <c r="D97" s="10"/>
      <c r="O97"/>
      <c r="P97"/>
      <c r="Q97"/>
    </row>
    <row r="98" spans="1:17" ht="12.75">
      <c r="A98"/>
      <c r="B98"/>
      <c r="C98" s="10"/>
      <c r="D98" s="10"/>
      <c r="O98"/>
      <c r="P98"/>
      <c r="Q98"/>
    </row>
    <row r="99" spans="1:17" ht="12.75">
      <c r="A99"/>
      <c r="B99"/>
      <c r="C99" s="10"/>
      <c r="D99" s="10"/>
      <c r="O99"/>
      <c r="P99"/>
      <c r="Q99"/>
    </row>
    <row r="100" spans="1:17" ht="12.75">
      <c r="A100"/>
      <c r="B100"/>
      <c r="C100" s="10"/>
      <c r="D100" s="10"/>
      <c r="O100"/>
      <c r="P100"/>
      <c r="Q100"/>
    </row>
    <row r="101" spans="1:17" ht="12.75">
      <c r="A101"/>
      <c r="B101"/>
      <c r="C101" s="10"/>
      <c r="D101" s="10"/>
      <c r="O101"/>
      <c r="P101"/>
      <c r="Q101"/>
    </row>
    <row r="102" spans="1:17" ht="12.75">
      <c r="A102"/>
      <c r="B102"/>
      <c r="C102" s="10"/>
      <c r="D102" s="10"/>
      <c r="O102"/>
      <c r="P102"/>
      <c r="Q102"/>
    </row>
    <row r="103" spans="1:17" ht="12.75">
      <c r="A103"/>
      <c r="B103"/>
      <c r="C103" s="10"/>
      <c r="D103" s="10"/>
      <c r="O103"/>
      <c r="P103"/>
      <c r="Q103"/>
    </row>
    <row r="104" spans="1:17" ht="12.75">
      <c r="A104"/>
      <c r="B104"/>
      <c r="C104" s="10"/>
      <c r="D104" s="10"/>
      <c r="O104"/>
      <c r="P104"/>
      <c r="Q104"/>
    </row>
    <row r="105" spans="1:17" ht="12.75">
      <c r="A105"/>
      <c r="B105"/>
      <c r="C105" s="10"/>
      <c r="D105" s="10"/>
      <c r="O105"/>
      <c r="P105"/>
      <c r="Q105"/>
    </row>
    <row r="106" spans="1:17" ht="12.75">
      <c r="A106"/>
      <c r="B106"/>
      <c r="C106" s="10"/>
      <c r="D106" s="10"/>
      <c r="O106"/>
      <c r="P106"/>
      <c r="Q106"/>
    </row>
    <row r="107" spans="1:17" ht="12.75">
      <c r="A107"/>
      <c r="B107"/>
      <c r="C107" s="10"/>
      <c r="D107" s="10"/>
      <c r="O107"/>
      <c r="P107"/>
      <c r="Q107"/>
    </row>
    <row r="108" spans="1:17" ht="12.75">
      <c r="A108"/>
      <c r="B108"/>
      <c r="C108" s="10"/>
      <c r="D108" s="10"/>
      <c r="O108"/>
      <c r="P108"/>
      <c r="Q108"/>
    </row>
    <row r="109" spans="1:17" ht="12.75">
      <c r="A109"/>
      <c r="B109"/>
      <c r="C109" s="10"/>
      <c r="D109" s="10"/>
      <c r="O109"/>
      <c r="P109"/>
      <c r="Q109"/>
    </row>
    <row r="110" spans="1:17" ht="12.75">
      <c r="A110"/>
      <c r="B110"/>
      <c r="C110" s="10"/>
      <c r="D110" s="10"/>
      <c r="O110"/>
      <c r="P110"/>
      <c r="Q110"/>
    </row>
    <row r="111" spans="1:17" ht="12.75">
      <c r="A111"/>
      <c r="B111"/>
      <c r="C111" s="10"/>
      <c r="D111" s="10"/>
      <c r="O111"/>
      <c r="P111"/>
      <c r="Q111"/>
    </row>
    <row r="112" spans="1:17" ht="12.75">
      <c r="A112"/>
      <c r="B112"/>
      <c r="C112" s="10"/>
      <c r="D112" s="10"/>
      <c r="O112"/>
      <c r="P112"/>
      <c r="Q112"/>
    </row>
    <row r="113" spans="1:17" ht="12.75">
      <c r="A113"/>
      <c r="B113"/>
      <c r="C113" s="10"/>
      <c r="D113" s="10"/>
      <c r="O113"/>
      <c r="P113"/>
      <c r="Q113"/>
    </row>
    <row r="114" spans="1:17" ht="12.75">
      <c r="A114"/>
      <c r="B114"/>
      <c r="C114" s="10"/>
      <c r="D114" s="10"/>
      <c r="O114"/>
      <c r="P114"/>
      <c r="Q114"/>
    </row>
    <row r="115" spans="1:17" ht="12.75">
      <c r="A115"/>
      <c r="B115"/>
      <c r="C115" s="10"/>
      <c r="D115" s="10"/>
      <c r="O115"/>
      <c r="P115"/>
      <c r="Q115"/>
    </row>
    <row r="116" spans="1:17" ht="12.75">
      <c r="A116"/>
      <c r="B116"/>
      <c r="C116" s="10"/>
      <c r="D116" s="10"/>
      <c r="O116"/>
      <c r="P116"/>
      <c r="Q116"/>
    </row>
    <row r="117" spans="1:17" ht="12.75">
      <c r="A117"/>
      <c r="B117"/>
      <c r="C117" s="10"/>
      <c r="D117" s="10"/>
      <c r="O117"/>
      <c r="P117"/>
      <c r="Q117"/>
    </row>
    <row r="118" spans="1:17" ht="12.75">
      <c r="A118"/>
      <c r="B118"/>
      <c r="C118" s="10"/>
      <c r="D118" s="10"/>
      <c r="O118"/>
      <c r="P118"/>
      <c r="Q118"/>
    </row>
    <row r="119" spans="1:17" ht="12.75">
      <c r="A119"/>
      <c r="B119"/>
      <c r="C119" s="10"/>
      <c r="D119" s="10"/>
      <c r="O119"/>
      <c r="P119"/>
      <c r="Q119"/>
    </row>
    <row r="120" spans="1:17" ht="12.75">
      <c r="A120"/>
      <c r="B120"/>
      <c r="C120" s="10"/>
      <c r="D120" s="10"/>
      <c r="O120"/>
      <c r="P120"/>
      <c r="Q120"/>
    </row>
    <row r="121" spans="1:17" ht="12.75">
      <c r="A121"/>
      <c r="B121"/>
      <c r="C121" s="10"/>
      <c r="D121" s="10"/>
      <c r="O121"/>
      <c r="P121"/>
      <c r="Q121"/>
    </row>
    <row r="122" spans="1:17" ht="12.75">
      <c r="A122"/>
      <c r="B122"/>
      <c r="C122" s="10"/>
      <c r="D122" s="10"/>
      <c r="O122"/>
      <c r="P122"/>
      <c r="Q122"/>
    </row>
    <row r="123" spans="1:17" ht="12.75">
      <c r="A123"/>
      <c r="B123"/>
      <c r="C123" s="10"/>
      <c r="D123" s="10"/>
      <c r="O123"/>
      <c r="P123"/>
      <c r="Q123"/>
    </row>
    <row r="124" spans="1:17" ht="12.75">
      <c r="A124"/>
      <c r="B124"/>
      <c r="C124" s="10"/>
      <c r="D124" s="10"/>
      <c r="O124"/>
      <c r="P124"/>
      <c r="Q124"/>
    </row>
    <row r="125" spans="1:17" ht="12.75">
      <c r="A125"/>
      <c r="B125"/>
      <c r="C125" s="10"/>
      <c r="D125" s="10"/>
      <c r="O125"/>
      <c r="P125"/>
      <c r="Q125"/>
    </row>
    <row r="126" spans="1:17" ht="12.75">
      <c r="A126"/>
      <c r="B126"/>
      <c r="C126" s="10"/>
      <c r="D126" s="10"/>
      <c r="O126"/>
      <c r="P126"/>
      <c r="Q126"/>
    </row>
    <row r="127" spans="1:17" ht="12.75">
      <c r="A127"/>
      <c r="B127"/>
      <c r="C127" s="10"/>
      <c r="D127" s="10"/>
      <c r="O127"/>
      <c r="P127"/>
      <c r="Q127"/>
    </row>
    <row r="128" spans="1:17" ht="12.75">
      <c r="A128"/>
      <c r="B128"/>
      <c r="C128" s="10"/>
      <c r="D128" s="10"/>
      <c r="O128"/>
      <c r="P128"/>
      <c r="Q128"/>
    </row>
    <row r="129" spans="1:17" ht="12.75">
      <c r="A129"/>
      <c r="B129"/>
      <c r="C129" s="10"/>
      <c r="D129" s="10"/>
      <c r="O129"/>
      <c r="P129"/>
      <c r="Q129"/>
    </row>
    <row r="130" spans="1:17" ht="12.75">
      <c r="A130"/>
      <c r="B130"/>
      <c r="C130" s="10"/>
      <c r="D130" s="10"/>
      <c r="O130"/>
      <c r="P130"/>
      <c r="Q130"/>
    </row>
    <row r="131" spans="1:17" ht="12.75">
      <c r="A131"/>
      <c r="B131"/>
      <c r="C131" s="10"/>
      <c r="D131" s="10"/>
      <c r="O131"/>
      <c r="P131"/>
      <c r="Q131"/>
    </row>
    <row r="132" spans="1:17" ht="12.75">
      <c r="A132"/>
      <c r="B132"/>
      <c r="C132" s="10"/>
      <c r="D132" s="10"/>
      <c r="O132"/>
      <c r="P132"/>
      <c r="Q132"/>
    </row>
    <row r="133" spans="1:17" ht="12.75">
      <c r="A133"/>
      <c r="B133"/>
      <c r="C133" s="10"/>
      <c r="D133" s="10"/>
      <c r="O133"/>
      <c r="P133"/>
      <c r="Q133"/>
    </row>
    <row r="134" spans="1:17" ht="12.75">
      <c r="A134"/>
      <c r="B134"/>
      <c r="C134" s="10"/>
      <c r="D134" s="10"/>
      <c r="O134"/>
      <c r="P134"/>
      <c r="Q134"/>
    </row>
    <row r="135" spans="1:17" ht="12.75">
      <c r="A135"/>
      <c r="B135"/>
      <c r="C135" s="10"/>
      <c r="D135" s="10"/>
      <c r="O135"/>
      <c r="P135"/>
      <c r="Q135"/>
    </row>
    <row r="136" spans="1:17" ht="12.75">
      <c r="A136"/>
      <c r="B136"/>
      <c r="C136" s="10"/>
      <c r="D136" s="10"/>
      <c r="O136"/>
      <c r="P136"/>
      <c r="Q136"/>
    </row>
    <row r="137" spans="1:17" ht="12.75">
      <c r="A137"/>
      <c r="B137"/>
      <c r="C137" s="10"/>
      <c r="D137" s="10"/>
      <c r="O137"/>
      <c r="P137"/>
      <c r="Q137"/>
    </row>
    <row r="138" spans="1:17" ht="12.75">
      <c r="A138"/>
      <c r="B138"/>
      <c r="C138" s="10"/>
      <c r="D138" s="10"/>
      <c r="O138"/>
      <c r="P138"/>
      <c r="Q138"/>
    </row>
    <row r="139" spans="1:17" ht="12.75">
      <c r="A139"/>
      <c r="B139"/>
      <c r="C139" s="10"/>
      <c r="D139" s="10"/>
      <c r="O139"/>
      <c r="P139"/>
      <c r="Q139"/>
    </row>
    <row r="140" spans="1:17" ht="12.75">
      <c r="A140"/>
      <c r="B140"/>
      <c r="C140" s="10"/>
      <c r="D140" s="10"/>
      <c r="O140"/>
      <c r="P140"/>
      <c r="Q140"/>
    </row>
    <row r="141" spans="1:17" ht="12.75">
      <c r="A141"/>
      <c r="B141"/>
      <c r="C141" s="10"/>
      <c r="D141" s="10"/>
      <c r="O141"/>
      <c r="P141"/>
      <c r="Q141"/>
    </row>
    <row r="142" spans="1:17" ht="12.75">
      <c r="A142"/>
      <c r="B142"/>
      <c r="C142" s="10"/>
      <c r="D142" s="10"/>
      <c r="O142"/>
      <c r="P142"/>
      <c r="Q142"/>
    </row>
    <row r="143" spans="1:17" ht="12.75">
      <c r="A143"/>
      <c r="B143"/>
      <c r="C143" s="10"/>
      <c r="D143" s="10"/>
      <c r="O143"/>
      <c r="P143"/>
      <c r="Q143"/>
    </row>
    <row r="144" spans="1:17" ht="12.75">
      <c r="A144"/>
      <c r="B144"/>
      <c r="C144" s="10"/>
      <c r="D144" s="10"/>
      <c r="O144"/>
      <c r="P144"/>
      <c r="Q144"/>
    </row>
    <row r="145" spans="1:17" ht="12.75">
      <c r="A145"/>
      <c r="B145"/>
      <c r="C145" s="10"/>
      <c r="D145" s="10"/>
      <c r="O145"/>
      <c r="P145"/>
      <c r="Q145"/>
    </row>
    <row r="146" spans="1:17" ht="12.75">
      <c r="A146"/>
      <c r="B146"/>
      <c r="C146" s="10"/>
      <c r="D146" s="10"/>
      <c r="O146"/>
      <c r="P146"/>
      <c r="Q146"/>
    </row>
    <row r="147" spans="1:17" ht="12.75">
      <c r="A147"/>
      <c r="B147"/>
      <c r="C147" s="10"/>
      <c r="D147" s="10"/>
      <c r="O147"/>
      <c r="P147"/>
      <c r="Q147"/>
    </row>
    <row r="148" spans="1:17" ht="12.75">
      <c r="A148"/>
      <c r="B148"/>
      <c r="C148" s="10"/>
      <c r="D148" s="10"/>
      <c r="O148"/>
      <c r="P148"/>
      <c r="Q148"/>
    </row>
    <row r="149" spans="1:17" ht="12.75">
      <c r="A149"/>
      <c r="B149"/>
      <c r="C149" s="10"/>
      <c r="D149" s="10"/>
      <c r="O149"/>
      <c r="P149"/>
      <c r="Q149"/>
    </row>
    <row r="150" spans="1:17" ht="12.75">
      <c r="A150"/>
      <c r="B150"/>
      <c r="C150" s="10"/>
      <c r="D150" s="10"/>
      <c r="O150"/>
      <c r="P150"/>
      <c r="Q150"/>
    </row>
    <row r="151" spans="1:17" ht="12.75">
      <c r="A151"/>
      <c r="B151"/>
      <c r="C151" s="10"/>
      <c r="D151" s="10"/>
      <c r="O151"/>
      <c r="P151"/>
      <c r="Q151"/>
    </row>
    <row r="152" spans="1:17" ht="12.75">
      <c r="A152"/>
      <c r="B152"/>
      <c r="C152" s="10"/>
      <c r="D152" s="10"/>
      <c r="O152"/>
      <c r="P152"/>
      <c r="Q152"/>
    </row>
    <row r="153" spans="1:17" ht="12.75">
      <c r="A153"/>
      <c r="B153"/>
      <c r="C153" s="10"/>
      <c r="D153" s="10"/>
      <c r="O153"/>
      <c r="P153"/>
      <c r="Q153"/>
    </row>
    <row r="154" spans="1:17" ht="12.75">
      <c r="A154"/>
      <c r="B154"/>
      <c r="C154" s="10"/>
      <c r="D154" s="10"/>
      <c r="O154"/>
      <c r="P154"/>
      <c r="Q154"/>
    </row>
    <row r="155" spans="1:17" ht="12.75">
      <c r="A155"/>
      <c r="B155"/>
      <c r="C155" s="10"/>
      <c r="D155" s="10"/>
      <c r="O155"/>
      <c r="P155"/>
      <c r="Q155"/>
    </row>
    <row r="156" spans="1:17" ht="12.75">
      <c r="A156"/>
      <c r="B156"/>
      <c r="C156" s="10"/>
      <c r="D156" s="10"/>
      <c r="O156"/>
      <c r="P156"/>
      <c r="Q156"/>
    </row>
    <row r="157" spans="1:17" ht="12.75">
      <c r="A157"/>
      <c r="B157"/>
      <c r="C157" s="10"/>
      <c r="D157" s="10"/>
      <c r="O157"/>
      <c r="P157"/>
      <c r="Q157"/>
    </row>
    <row r="158" spans="1:17" ht="12.75">
      <c r="A158"/>
      <c r="B158"/>
      <c r="C158" s="10"/>
      <c r="D158" s="10"/>
      <c r="O158"/>
      <c r="P158"/>
      <c r="Q158"/>
    </row>
    <row r="159" spans="1:17" ht="12.75">
      <c r="A159"/>
      <c r="B159"/>
      <c r="C159" s="10"/>
      <c r="D159" s="10"/>
      <c r="O159"/>
      <c r="P159"/>
      <c r="Q159"/>
    </row>
    <row r="160" spans="1:17" ht="12.75">
      <c r="A160"/>
      <c r="B160"/>
      <c r="C160" s="10"/>
      <c r="D160" s="10"/>
      <c r="O160"/>
      <c r="P160"/>
      <c r="Q160"/>
    </row>
    <row r="161" spans="1:17" ht="12.75">
      <c r="A161"/>
      <c r="B161"/>
      <c r="C161" s="10"/>
      <c r="D161" s="10"/>
      <c r="O161"/>
      <c r="P161"/>
      <c r="Q161"/>
    </row>
    <row r="162" spans="1:17" ht="12.75">
      <c r="A162"/>
      <c r="B162"/>
      <c r="C162" s="10"/>
      <c r="D162" s="10"/>
      <c r="O162"/>
      <c r="P162"/>
      <c r="Q162"/>
    </row>
    <row r="163" spans="1:17" ht="12.75">
      <c r="A163"/>
      <c r="B163"/>
      <c r="C163" s="10"/>
      <c r="D163" s="10"/>
      <c r="O163"/>
      <c r="P163"/>
      <c r="Q163"/>
    </row>
    <row r="164" spans="1:17" ht="12.75">
      <c r="A164"/>
      <c r="B164"/>
      <c r="C164" s="10"/>
      <c r="D164" s="10"/>
      <c r="O164"/>
      <c r="P164"/>
      <c r="Q164"/>
    </row>
    <row r="165" spans="1:17" ht="12.75">
      <c r="A165"/>
      <c r="B165"/>
      <c r="C165" s="10"/>
      <c r="D165" s="10"/>
      <c r="O165"/>
      <c r="P165"/>
      <c r="Q165"/>
    </row>
    <row r="166" spans="1:17" ht="12.75">
      <c r="A166"/>
      <c r="B166"/>
      <c r="C166" s="10"/>
      <c r="D166" s="10"/>
      <c r="O166"/>
      <c r="P166"/>
      <c r="Q166"/>
    </row>
    <row r="167" spans="1:17" ht="12.75">
      <c r="A167"/>
      <c r="B167"/>
      <c r="C167" s="10"/>
      <c r="D167" s="10"/>
      <c r="O167"/>
      <c r="P167"/>
      <c r="Q167"/>
    </row>
    <row r="168" spans="1:17" ht="12.75">
      <c r="A168"/>
      <c r="B168"/>
      <c r="C168" s="10"/>
      <c r="D168" s="10"/>
      <c r="O168"/>
      <c r="P168"/>
      <c r="Q168"/>
    </row>
    <row r="169" spans="1:17" ht="12.75">
      <c r="A169"/>
      <c r="B169"/>
      <c r="C169" s="10"/>
      <c r="D169" s="10"/>
      <c r="O169"/>
      <c r="P169"/>
      <c r="Q169"/>
    </row>
    <row r="170" spans="1:17" ht="12.75">
      <c r="A170"/>
      <c r="B170"/>
      <c r="C170" s="10"/>
      <c r="D170" s="10"/>
      <c r="O170"/>
      <c r="P170"/>
      <c r="Q170"/>
    </row>
    <row r="171" spans="1:17" ht="12.75">
      <c r="A171"/>
      <c r="B171"/>
      <c r="C171" s="10"/>
      <c r="D171" s="10"/>
      <c r="O171"/>
      <c r="P171"/>
      <c r="Q171"/>
    </row>
    <row r="172" spans="1:17" ht="12.75">
      <c r="A172"/>
      <c r="B172"/>
      <c r="C172" s="10"/>
      <c r="D172" s="10"/>
      <c r="O172"/>
      <c r="P172"/>
      <c r="Q172"/>
    </row>
    <row r="173" spans="1:17" ht="12.75">
      <c r="A173"/>
      <c r="B173"/>
      <c r="C173" s="10"/>
      <c r="D173" s="10"/>
      <c r="O173"/>
      <c r="P173"/>
      <c r="Q173"/>
    </row>
    <row r="174" spans="1:17" ht="12.75">
      <c r="A174"/>
      <c r="B174"/>
      <c r="C174" s="10"/>
      <c r="D174" s="10"/>
      <c r="O174"/>
      <c r="P174"/>
      <c r="Q174"/>
    </row>
    <row r="175" spans="1:17" ht="12.75">
      <c r="A175"/>
      <c r="B175"/>
      <c r="C175" s="10"/>
      <c r="D175" s="10"/>
      <c r="O175"/>
      <c r="P175"/>
      <c r="Q175"/>
    </row>
    <row r="176" spans="1:17" ht="12.75">
      <c r="A176"/>
      <c r="B176"/>
      <c r="C176" s="10"/>
      <c r="D176" s="10"/>
      <c r="O176"/>
      <c r="P176"/>
      <c r="Q176"/>
    </row>
    <row r="177" spans="1:17" ht="12.75">
      <c r="A177"/>
      <c r="B177"/>
      <c r="C177" s="10"/>
      <c r="D177" s="10"/>
      <c r="O177"/>
      <c r="P177"/>
      <c r="Q177"/>
    </row>
    <row r="178" spans="1:17" ht="12.75">
      <c r="A178"/>
      <c r="B178"/>
      <c r="C178" s="10"/>
      <c r="D178" s="10"/>
      <c r="O178"/>
      <c r="P178"/>
      <c r="Q178"/>
    </row>
    <row r="179" spans="1:17" ht="12.75">
      <c r="A179"/>
      <c r="B179"/>
      <c r="C179" s="10"/>
      <c r="D179" s="10"/>
      <c r="O179"/>
      <c r="P179"/>
      <c r="Q179"/>
    </row>
    <row r="180" spans="1:17" ht="12.75">
      <c r="A180"/>
      <c r="B180"/>
      <c r="C180" s="10"/>
      <c r="D180" s="10"/>
      <c r="O180"/>
      <c r="P180"/>
      <c r="Q180"/>
    </row>
    <row r="181" spans="1:17" ht="12.75">
      <c r="A181"/>
      <c r="B181"/>
      <c r="C181" s="10"/>
      <c r="D181" s="10"/>
      <c r="O181"/>
      <c r="P181"/>
      <c r="Q181"/>
    </row>
    <row r="182" spans="1:17" ht="12.75">
      <c r="A182"/>
      <c r="B182"/>
      <c r="C182" s="10"/>
      <c r="D182" s="10"/>
      <c r="O182"/>
      <c r="P182"/>
      <c r="Q182"/>
    </row>
    <row r="183" spans="1:17" ht="12.75">
      <c r="A183"/>
      <c r="B183"/>
      <c r="C183" s="10"/>
      <c r="D183" s="10"/>
      <c r="O183"/>
      <c r="P183"/>
      <c r="Q183"/>
    </row>
    <row r="184" spans="1:17" ht="12.75">
      <c r="A184"/>
      <c r="B184"/>
      <c r="C184" s="10"/>
      <c r="D184" s="10"/>
      <c r="O184"/>
      <c r="P184"/>
      <c r="Q184"/>
    </row>
    <row r="185" spans="1:17" ht="12.75">
      <c r="A185"/>
      <c r="B185"/>
      <c r="C185" s="10"/>
      <c r="D185" s="10"/>
      <c r="O185"/>
      <c r="P185"/>
      <c r="Q185"/>
    </row>
    <row r="186" spans="1:17" ht="12.75">
      <c r="A186"/>
      <c r="B186"/>
      <c r="C186" s="10"/>
      <c r="D186" s="10"/>
      <c r="O186"/>
      <c r="P186"/>
      <c r="Q186"/>
    </row>
    <row r="187" spans="1:17" ht="12.75">
      <c r="A187"/>
      <c r="B187"/>
      <c r="C187" s="10"/>
      <c r="D187" s="10"/>
      <c r="O187"/>
      <c r="P187"/>
      <c r="Q187"/>
    </row>
    <row r="188" spans="1:17" ht="12.75">
      <c r="A188"/>
      <c r="B188"/>
      <c r="C188" s="10"/>
      <c r="D188" s="10"/>
      <c r="O188"/>
      <c r="P188"/>
      <c r="Q188"/>
    </row>
    <row r="189" spans="1:17" ht="12.75">
      <c r="A189"/>
      <c r="B189"/>
      <c r="C189" s="10"/>
      <c r="D189" s="10"/>
      <c r="O189"/>
      <c r="P189"/>
      <c r="Q189"/>
    </row>
    <row r="190" spans="1:17" ht="12.75">
      <c r="A190"/>
      <c r="B190"/>
      <c r="C190" s="10"/>
      <c r="D190" s="10"/>
      <c r="O190"/>
      <c r="P190"/>
      <c r="Q190"/>
    </row>
    <row r="191" spans="1:17" ht="12.75">
      <c r="A191"/>
      <c r="B191"/>
      <c r="C191" s="10"/>
      <c r="D191" s="10"/>
      <c r="O191"/>
      <c r="P191"/>
      <c r="Q191"/>
    </row>
    <row r="192" spans="1:17" ht="12.75">
      <c r="A192"/>
      <c r="B192"/>
      <c r="C192" s="10"/>
      <c r="D192" s="10"/>
      <c r="O192"/>
      <c r="P192"/>
      <c r="Q192"/>
    </row>
    <row r="193" spans="1:17" ht="12.75">
      <c r="A193"/>
      <c r="B193"/>
      <c r="C193" s="10"/>
      <c r="D193" s="10"/>
      <c r="O193"/>
      <c r="P193"/>
      <c r="Q193"/>
    </row>
    <row r="194" spans="1:17" ht="12.75">
      <c r="A194"/>
      <c r="B194"/>
      <c r="C194" s="10"/>
      <c r="D194" s="10"/>
      <c r="O194"/>
      <c r="P194"/>
      <c r="Q194"/>
    </row>
    <row r="195" spans="1:17" ht="12.75">
      <c r="A195"/>
      <c r="B195"/>
      <c r="C195" s="10"/>
      <c r="D195" s="10"/>
      <c r="O195"/>
      <c r="P195"/>
      <c r="Q195"/>
    </row>
    <row r="196" spans="1:17" ht="12.75">
      <c r="A196"/>
      <c r="B196"/>
      <c r="C196" s="10"/>
      <c r="D196" s="10"/>
      <c r="O196"/>
      <c r="P196"/>
      <c r="Q196"/>
    </row>
    <row r="197" spans="1:17" ht="12.75">
      <c r="A197"/>
      <c r="B197"/>
      <c r="C197" s="10"/>
      <c r="D197" s="10"/>
      <c r="O197"/>
      <c r="P197"/>
      <c r="Q197"/>
    </row>
    <row r="198" spans="1:17" ht="12.75">
      <c r="A198"/>
      <c r="B198"/>
      <c r="C198" s="10"/>
      <c r="D198" s="10"/>
      <c r="O198"/>
      <c r="P198"/>
      <c r="Q198"/>
    </row>
    <row r="199" spans="1:17" ht="12.75">
      <c r="A199"/>
      <c r="B199"/>
      <c r="C199" s="10"/>
      <c r="D199" s="10"/>
      <c r="O199"/>
      <c r="P199"/>
      <c r="Q199"/>
    </row>
    <row r="200" spans="1:17" ht="12.75">
      <c r="A200"/>
      <c r="B200"/>
      <c r="C200" s="10"/>
      <c r="D200" s="10"/>
      <c r="O200"/>
      <c r="P200"/>
      <c r="Q200"/>
    </row>
    <row r="201" spans="1:17" ht="12.75">
      <c r="A201"/>
      <c r="B201"/>
      <c r="C201" s="10"/>
      <c r="D201" s="10"/>
      <c r="O201"/>
      <c r="P201"/>
      <c r="Q201"/>
    </row>
    <row r="202" spans="1:17" ht="12.75">
      <c r="A202"/>
      <c r="B202"/>
      <c r="C202" s="10"/>
      <c r="D202" s="10"/>
      <c r="O202"/>
      <c r="P202"/>
      <c r="Q202"/>
    </row>
    <row r="203" spans="1:17" ht="12.75">
      <c r="A203"/>
      <c r="B203"/>
      <c r="C203" s="10"/>
      <c r="D203" s="10"/>
      <c r="O203"/>
      <c r="P203"/>
      <c r="Q203"/>
    </row>
    <row r="204" spans="1:17" ht="12.75">
      <c r="A204"/>
      <c r="B204"/>
      <c r="C204" s="10"/>
      <c r="D204" s="10"/>
      <c r="O204"/>
      <c r="P204"/>
      <c r="Q204"/>
    </row>
    <row r="205" spans="1:17" ht="12.75">
      <c r="A205"/>
      <c r="B205"/>
      <c r="C205" s="10"/>
      <c r="D205" s="10"/>
      <c r="O205"/>
      <c r="P205"/>
      <c r="Q205"/>
    </row>
    <row r="206" spans="1:17" ht="12.75">
      <c r="A206"/>
      <c r="B206"/>
      <c r="C206" s="10"/>
      <c r="D206" s="10"/>
      <c r="O206"/>
      <c r="P206"/>
      <c r="Q206"/>
    </row>
    <row r="207" spans="1:17" ht="12.75">
      <c r="A207"/>
      <c r="B207"/>
      <c r="C207" s="10"/>
      <c r="D207" s="10"/>
      <c r="O207"/>
      <c r="P207"/>
      <c r="Q207"/>
    </row>
    <row r="208" spans="1:17" ht="12.75">
      <c r="A208"/>
      <c r="B208"/>
      <c r="C208" s="10"/>
      <c r="D208" s="10"/>
      <c r="O208"/>
      <c r="P208"/>
      <c r="Q208"/>
    </row>
    <row r="209" spans="1:17" ht="12.75">
      <c r="A209"/>
      <c r="B209"/>
      <c r="C209" s="10"/>
      <c r="D209" s="10"/>
      <c r="O209"/>
      <c r="P209"/>
      <c r="Q209"/>
    </row>
    <row r="210" spans="1:17" ht="12.75">
      <c r="A210"/>
      <c r="B210"/>
      <c r="C210" s="10"/>
      <c r="D210" s="10"/>
      <c r="O210"/>
      <c r="P210"/>
      <c r="Q210"/>
    </row>
    <row r="211" spans="1:17" ht="12.75">
      <c r="A211"/>
      <c r="B211"/>
      <c r="C211" s="10"/>
      <c r="D211" s="10"/>
      <c r="O211"/>
      <c r="P211"/>
      <c r="Q211"/>
    </row>
    <row r="212" spans="1:17" ht="12.75">
      <c r="A212"/>
      <c r="B212"/>
      <c r="C212" s="10"/>
      <c r="D212" s="10"/>
      <c r="O212"/>
      <c r="P212"/>
      <c r="Q212"/>
    </row>
    <row r="213" spans="1:17" ht="12.75">
      <c r="A213"/>
      <c r="B213"/>
      <c r="C213" s="10"/>
      <c r="D213" s="10"/>
      <c r="O213"/>
      <c r="P213"/>
      <c r="Q213"/>
    </row>
    <row r="214" spans="1:17" ht="12.75">
      <c r="A214"/>
      <c r="B214"/>
      <c r="C214" s="10"/>
      <c r="D214" s="10"/>
      <c r="O214"/>
      <c r="P214"/>
      <c r="Q214"/>
    </row>
    <row r="215" spans="1:17" ht="12.75">
      <c r="A215"/>
      <c r="B215"/>
      <c r="C215" s="10"/>
      <c r="D215" s="10"/>
      <c r="O215"/>
      <c r="P215"/>
      <c r="Q215"/>
    </row>
    <row r="216" spans="1:17" ht="12.75">
      <c r="A216"/>
      <c r="B216"/>
      <c r="C216" s="10"/>
      <c r="D216" s="10"/>
      <c r="O216"/>
      <c r="P216"/>
      <c r="Q216"/>
    </row>
    <row r="217" spans="1:17" ht="12.75">
      <c r="A217"/>
      <c r="B217"/>
      <c r="C217" s="10"/>
      <c r="D217" s="10"/>
      <c r="O217"/>
      <c r="P217"/>
      <c r="Q217"/>
    </row>
    <row r="218" spans="1:17" ht="12.75">
      <c r="A218"/>
      <c r="B218"/>
      <c r="C218" s="10"/>
      <c r="D218" s="10"/>
      <c r="O218"/>
      <c r="P218"/>
      <c r="Q218"/>
    </row>
    <row r="219" spans="1:17" ht="12.75">
      <c r="A219"/>
      <c r="B219"/>
      <c r="C219" s="10"/>
      <c r="D219" s="10"/>
      <c r="O219"/>
      <c r="P219"/>
      <c r="Q219"/>
    </row>
    <row r="220" spans="1:17" ht="12.75">
      <c r="A220"/>
      <c r="B220"/>
      <c r="C220" s="10"/>
      <c r="D220" s="10"/>
      <c r="O220"/>
      <c r="P220"/>
      <c r="Q220"/>
    </row>
    <row r="221" spans="1:17" ht="12.75">
      <c r="A221"/>
      <c r="B221"/>
      <c r="C221" s="10"/>
      <c r="D221" s="10"/>
      <c r="O221"/>
      <c r="P221"/>
      <c r="Q221"/>
    </row>
    <row r="222" spans="1:17" ht="12.75">
      <c r="A222"/>
      <c r="B222"/>
      <c r="C222" s="10"/>
      <c r="D222" s="10"/>
      <c r="O222"/>
      <c r="P222"/>
      <c r="Q222"/>
    </row>
    <row r="223" spans="1:17" ht="12.75">
      <c r="A223"/>
      <c r="B223"/>
      <c r="C223" s="10"/>
      <c r="D223" s="10"/>
      <c r="O223"/>
      <c r="P223"/>
      <c r="Q223"/>
    </row>
    <row r="224" spans="1:17" ht="12.75">
      <c r="A224"/>
      <c r="B224"/>
      <c r="C224" s="10"/>
      <c r="D224" s="10"/>
      <c r="O224"/>
      <c r="P224"/>
      <c r="Q224"/>
    </row>
    <row r="225" spans="1:17" ht="12.75">
      <c r="A225"/>
      <c r="B225"/>
      <c r="C225" s="10"/>
      <c r="D225" s="10"/>
      <c r="O225"/>
      <c r="P225"/>
      <c r="Q225"/>
    </row>
    <row r="226" spans="1:17" ht="12.75">
      <c r="A226"/>
      <c r="B226"/>
      <c r="C226" s="10"/>
      <c r="D226" s="10"/>
      <c r="O226"/>
      <c r="P226"/>
      <c r="Q226"/>
    </row>
    <row r="227" spans="1:17" ht="12.75">
      <c r="A227"/>
      <c r="B227"/>
      <c r="C227" s="10"/>
      <c r="D227" s="10"/>
      <c r="O227"/>
      <c r="P227"/>
      <c r="Q227"/>
    </row>
    <row r="228" spans="1:17" ht="12.75">
      <c r="A228"/>
      <c r="B228"/>
      <c r="C228" s="10"/>
      <c r="D228" s="10"/>
      <c r="O228"/>
      <c r="P228"/>
      <c r="Q228"/>
    </row>
    <row r="229" spans="1:17" ht="12.75">
      <c r="A229"/>
      <c r="B229"/>
      <c r="C229" s="10"/>
      <c r="D229" s="10"/>
      <c r="O229"/>
      <c r="P229"/>
      <c r="Q229"/>
    </row>
    <row r="230" spans="1:17" ht="12.75">
      <c r="A230"/>
      <c r="B230"/>
      <c r="C230" s="10"/>
      <c r="D230" s="10"/>
      <c r="O230"/>
      <c r="P230"/>
      <c r="Q230"/>
    </row>
    <row r="231" spans="1:17" ht="12.75">
      <c r="A231"/>
      <c r="B231"/>
      <c r="C231" s="10"/>
      <c r="D231" s="10"/>
      <c r="O231"/>
      <c r="P231"/>
      <c r="Q231"/>
    </row>
    <row r="232" spans="1:17" ht="12.75">
      <c r="A232"/>
      <c r="B232"/>
      <c r="C232" s="10"/>
      <c r="D232" s="10"/>
      <c r="O232"/>
      <c r="P232"/>
      <c r="Q232"/>
    </row>
    <row r="233" spans="1:17" ht="12.75">
      <c r="A233"/>
      <c r="B233"/>
      <c r="C233" s="10"/>
      <c r="D233" s="10"/>
      <c r="O233"/>
      <c r="P233"/>
      <c r="Q233"/>
    </row>
    <row r="234" spans="1:17" ht="12.75">
      <c r="A234"/>
      <c r="B234"/>
      <c r="C234" s="10"/>
      <c r="D234" s="10"/>
      <c r="O234"/>
      <c r="P234"/>
      <c r="Q234"/>
    </row>
    <row r="235" spans="1:17" ht="12.75">
      <c r="A235"/>
      <c r="B235"/>
      <c r="C235" s="10"/>
      <c r="D235" s="10"/>
      <c r="O235"/>
      <c r="P235"/>
      <c r="Q235"/>
    </row>
    <row r="236" spans="1:17" ht="12.75">
      <c r="A236"/>
      <c r="B236"/>
      <c r="C236" s="10"/>
      <c r="D236" s="10"/>
      <c r="O236"/>
      <c r="P236"/>
      <c r="Q236"/>
    </row>
    <row r="237" spans="1:17" ht="12.75">
      <c r="A237"/>
      <c r="B237"/>
      <c r="C237" s="10"/>
      <c r="D237" s="10"/>
      <c r="O237"/>
      <c r="P237"/>
      <c r="Q237"/>
    </row>
    <row r="238" spans="1:17" ht="12.75">
      <c r="A238"/>
      <c r="B238"/>
      <c r="C238" s="10"/>
      <c r="D238" s="10"/>
      <c r="O238"/>
      <c r="P238"/>
      <c r="Q238"/>
    </row>
    <row r="239" spans="1:17" ht="12.75">
      <c r="A239"/>
      <c r="B239"/>
      <c r="C239" s="10"/>
      <c r="D239" s="10"/>
      <c r="O239"/>
      <c r="P239"/>
      <c r="Q239"/>
    </row>
    <row r="240" spans="1:17" ht="12.75">
      <c r="A240"/>
      <c r="B240"/>
      <c r="C240" s="10"/>
      <c r="D240" s="10"/>
      <c r="O240"/>
      <c r="P240"/>
      <c r="Q240"/>
    </row>
    <row r="241" spans="1:17" ht="12.75">
      <c r="A241"/>
      <c r="B241"/>
      <c r="C241" s="10"/>
      <c r="D241" s="10"/>
      <c r="O241"/>
      <c r="P241"/>
      <c r="Q241"/>
    </row>
    <row r="242" spans="1:17" ht="12.75">
      <c r="A242"/>
      <c r="B242"/>
      <c r="C242" s="10"/>
      <c r="D242" s="10"/>
      <c r="O242"/>
      <c r="P242"/>
      <c r="Q242"/>
    </row>
    <row r="243" spans="1:17" ht="12.75">
      <c r="A243"/>
      <c r="B243"/>
      <c r="C243" s="10"/>
      <c r="D243" s="10"/>
      <c r="O243"/>
      <c r="P243"/>
      <c r="Q243"/>
    </row>
    <row r="244" spans="1:17" ht="12.75">
      <c r="A244"/>
      <c r="B244"/>
      <c r="C244" s="10"/>
      <c r="D244" s="10"/>
      <c r="O244"/>
      <c r="P244"/>
      <c r="Q244"/>
    </row>
    <row r="245" spans="1:17" ht="12.75">
      <c r="A245"/>
      <c r="B245"/>
      <c r="C245" s="10"/>
      <c r="D245" s="10"/>
      <c r="O245"/>
      <c r="P245"/>
      <c r="Q245"/>
    </row>
    <row r="246" spans="1:17" ht="12.75">
      <c r="A246"/>
      <c r="B246"/>
      <c r="C246" s="10"/>
      <c r="D246" s="10"/>
      <c r="O246"/>
      <c r="P246"/>
      <c r="Q246"/>
    </row>
    <row r="247" spans="1:17" ht="12.75">
      <c r="A247"/>
      <c r="B247"/>
      <c r="C247" s="10"/>
      <c r="D247" s="10"/>
      <c r="O247"/>
      <c r="P247"/>
      <c r="Q247"/>
    </row>
    <row r="248" spans="1:17" ht="12.75">
      <c r="A248"/>
      <c r="B248"/>
      <c r="C248" s="10"/>
      <c r="D248" s="10"/>
      <c r="O248"/>
      <c r="P248"/>
      <c r="Q248"/>
    </row>
    <row r="249" spans="1:17" ht="12.75">
      <c r="A249"/>
      <c r="B249"/>
      <c r="C249" s="10"/>
      <c r="D249" s="10"/>
      <c r="O249"/>
      <c r="P249"/>
      <c r="Q249"/>
    </row>
    <row r="250" spans="1:17" ht="12.75">
      <c r="A250"/>
      <c r="B250"/>
      <c r="C250" s="10"/>
      <c r="D250" s="10"/>
      <c r="O250"/>
      <c r="P250"/>
      <c r="Q250"/>
    </row>
    <row r="251" spans="1:17" ht="12.75">
      <c r="A251"/>
      <c r="B251"/>
      <c r="C251" s="10"/>
      <c r="D251" s="10"/>
      <c r="O251"/>
      <c r="P251"/>
      <c r="Q251"/>
    </row>
    <row r="252" spans="1:17" ht="12.75">
      <c r="A252"/>
      <c r="B252"/>
      <c r="C252" s="10"/>
      <c r="D252" s="10"/>
      <c r="O252"/>
      <c r="P252"/>
      <c r="Q252"/>
    </row>
    <row r="253" spans="1:17" ht="12.75">
      <c r="A253"/>
      <c r="B253"/>
      <c r="C253" s="10"/>
      <c r="D253" s="10"/>
      <c r="O253"/>
      <c r="P253"/>
      <c r="Q253"/>
    </row>
    <row r="254" spans="1:17" ht="12.75">
      <c r="A254"/>
      <c r="B254"/>
      <c r="C254" s="10"/>
      <c r="D254" s="10"/>
      <c r="O254"/>
      <c r="P254"/>
      <c r="Q254"/>
    </row>
    <row r="255" spans="1:17" ht="12.75">
      <c r="A255"/>
      <c r="B255"/>
      <c r="C255" s="10"/>
      <c r="D255" s="10"/>
      <c r="O255"/>
      <c r="P255"/>
      <c r="Q255"/>
    </row>
    <row r="256" spans="1:17" ht="12.75">
      <c r="A256"/>
      <c r="B256"/>
      <c r="C256" s="10"/>
      <c r="D256" s="10"/>
      <c r="O256"/>
      <c r="P256"/>
      <c r="Q256"/>
    </row>
    <row r="257" spans="1:17" ht="12.75">
      <c r="A257"/>
      <c r="B257"/>
      <c r="C257" s="10"/>
      <c r="D257" s="10"/>
      <c r="O257"/>
      <c r="P257"/>
      <c r="Q257"/>
    </row>
    <row r="258" spans="1:17" ht="12.75">
      <c r="A258"/>
      <c r="B258"/>
      <c r="C258" s="10"/>
      <c r="D258" s="10"/>
      <c r="O258"/>
      <c r="P258"/>
      <c r="Q258"/>
    </row>
    <row r="259" spans="1:17" ht="12.75">
      <c r="A259"/>
      <c r="B259"/>
      <c r="C259" s="10"/>
      <c r="D259" s="10"/>
      <c r="O259"/>
      <c r="P259"/>
      <c r="Q259"/>
    </row>
    <row r="260" spans="1:17" ht="12.75">
      <c r="A260"/>
      <c r="B260"/>
      <c r="C260" s="10"/>
      <c r="D260" s="10"/>
      <c r="O260"/>
      <c r="P260"/>
      <c r="Q260"/>
    </row>
    <row r="261" spans="1:17" ht="12.75">
      <c r="A261"/>
      <c r="B261"/>
      <c r="C261" s="10"/>
      <c r="D261" s="10"/>
      <c r="O261"/>
      <c r="P261"/>
      <c r="Q261"/>
    </row>
    <row r="262" spans="1:17" ht="12.75">
      <c r="A262"/>
      <c r="B262"/>
      <c r="C262" s="10"/>
      <c r="D262" s="10"/>
      <c r="O262"/>
      <c r="P262"/>
      <c r="Q262"/>
    </row>
    <row r="263" spans="1:17" ht="12.75">
      <c r="A263"/>
      <c r="B263"/>
      <c r="C263" s="10"/>
      <c r="D263" s="10"/>
      <c r="O263"/>
      <c r="P263"/>
      <c r="Q263"/>
    </row>
    <row r="264" spans="1:17" ht="12.75">
      <c r="A264"/>
      <c r="B264"/>
      <c r="C264" s="10"/>
      <c r="D264" s="10"/>
      <c r="O264"/>
      <c r="P264"/>
      <c r="Q264"/>
    </row>
    <row r="265" spans="1:17" ht="12.75">
      <c r="A265"/>
      <c r="B265"/>
      <c r="C265" s="10"/>
      <c r="D265" s="10"/>
      <c r="O265"/>
      <c r="P265"/>
      <c r="Q265"/>
    </row>
    <row r="266" spans="1:17" ht="12.75">
      <c r="A266"/>
      <c r="B266"/>
      <c r="C266" s="10"/>
      <c r="D266" s="10"/>
      <c r="O266"/>
      <c r="P266"/>
      <c r="Q266"/>
    </row>
    <row r="267" spans="1:17" ht="12.75">
      <c r="A267"/>
      <c r="B267"/>
      <c r="C267" s="10"/>
      <c r="D267" s="10"/>
      <c r="O267"/>
      <c r="P267"/>
      <c r="Q267"/>
    </row>
    <row r="268" spans="1:17" ht="12.75">
      <c r="A268"/>
      <c r="B268"/>
      <c r="C268" s="10"/>
      <c r="D268" s="10"/>
      <c r="O268"/>
      <c r="P268"/>
      <c r="Q268"/>
    </row>
    <row r="269" spans="1:17" ht="12.75">
      <c r="A269"/>
      <c r="B269"/>
      <c r="C269" s="10"/>
      <c r="D269" s="10"/>
      <c r="O269"/>
      <c r="P269"/>
      <c r="Q269"/>
    </row>
    <row r="270" spans="1:17" ht="12.75">
      <c r="A270"/>
      <c r="B270"/>
      <c r="C270" s="10"/>
      <c r="D270" s="10"/>
      <c r="O270"/>
      <c r="P270"/>
      <c r="Q270"/>
    </row>
    <row r="271" spans="1:17" ht="12.75">
      <c r="A271"/>
      <c r="B271"/>
      <c r="C271" s="5"/>
      <c r="D271" s="5"/>
      <c r="O271"/>
      <c r="P271"/>
      <c r="Q271"/>
    </row>
    <row r="272" spans="1:17" ht="12.75">
      <c r="A272"/>
      <c r="B272"/>
      <c r="C272" s="5"/>
      <c r="D272" s="5"/>
      <c r="O272"/>
      <c r="P272"/>
      <c r="Q272"/>
    </row>
    <row r="273" spans="1:17" ht="12.75">
      <c r="A273"/>
      <c r="B273"/>
      <c r="C273" s="5"/>
      <c r="D273" s="5"/>
      <c r="O273"/>
      <c r="P273"/>
      <c r="Q273"/>
    </row>
    <row r="274" spans="1:17" ht="12.75">
      <c r="A274"/>
      <c r="B274"/>
      <c r="C274" s="5"/>
      <c r="D274" s="5"/>
      <c r="O274"/>
      <c r="P274"/>
      <c r="Q274"/>
    </row>
    <row r="275" spans="1:17" ht="12.75">
      <c r="A275"/>
      <c r="B275"/>
      <c r="C275" s="5"/>
      <c r="D275" s="5"/>
      <c r="O275"/>
      <c r="P275"/>
      <c r="Q275"/>
    </row>
    <row r="276" spans="1:17" ht="12.75">
      <c r="A276"/>
      <c r="B276"/>
      <c r="C276" s="2"/>
      <c r="D276" s="2"/>
      <c r="O276"/>
      <c r="P276"/>
      <c r="Q276"/>
    </row>
    <row r="277" spans="1:17" ht="12.75">
      <c r="A277"/>
      <c r="B277"/>
      <c r="C277" s="2"/>
      <c r="D277" s="2"/>
      <c r="O277"/>
      <c r="P277"/>
      <c r="Q277"/>
    </row>
    <row r="278" spans="1:17" ht="12.75">
      <c r="A278"/>
      <c r="B278"/>
      <c r="C278" s="2"/>
      <c r="D278" s="2"/>
      <c r="O278"/>
      <c r="P278"/>
      <c r="Q278"/>
    </row>
    <row r="279" spans="1:17" ht="12.75">
      <c r="A279"/>
      <c r="B279"/>
      <c r="C279" s="2"/>
      <c r="D279" s="2"/>
      <c r="O279"/>
      <c r="P279"/>
      <c r="Q279"/>
    </row>
    <row r="280" spans="1:17" ht="12.75">
      <c r="A280"/>
      <c r="B280"/>
      <c r="C280" s="2"/>
      <c r="D280" s="2"/>
      <c r="O280"/>
      <c r="P280"/>
      <c r="Q280"/>
    </row>
    <row r="281" spans="1:17" ht="12.75">
      <c r="A281"/>
      <c r="B281"/>
      <c r="C281" s="2"/>
      <c r="D281" s="2"/>
      <c r="O281"/>
      <c r="P281"/>
      <c r="Q281"/>
    </row>
    <row r="282" spans="1:17" ht="12.75">
      <c r="A282"/>
      <c r="B282"/>
      <c r="C282" s="2"/>
      <c r="D282" s="2"/>
      <c r="O282"/>
      <c r="P282"/>
      <c r="Q282"/>
    </row>
    <row r="283" spans="1:17" ht="12.75">
      <c r="A283"/>
      <c r="B283"/>
      <c r="C283" s="2"/>
      <c r="D283" s="2"/>
      <c r="O283"/>
      <c r="P283"/>
      <c r="Q283"/>
    </row>
    <row r="284" spans="1:17" ht="12.75">
      <c r="A284"/>
      <c r="B284"/>
      <c r="C284" s="2"/>
      <c r="D284" s="2"/>
      <c r="O284"/>
      <c r="P284"/>
      <c r="Q284"/>
    </row>
    <row r="285" spans="1:17" ht="12.75">
      <c r="A285"/>
      <c r="B285"/>
      <c r="C285" s="2"/>
      <c r="D285" s="2"/>
      <c r="O285"/>
      <c r="P285"/>
      <c r="Q285"/>
    </row>
    <row r="286" spans="1:17" ht="12.75">
      <c r="A286"/>
      <c r="B286"/>
      <c r="C286" s="2"/>
      <c r="D286" s="2"/>
      <c r="O286"/>
      <c r="P286"/>
      <c r="Q286"/>
    </row>
    <row r="287" spans="1:17" ht="12.75">
      <c r="A287"/>
      <c r="B287"/>
      <c r="C287" s="2"/>
      <c r="D287" s="2"/>
      <c r="O287"/>
      <c r="P287"/>
      <c r="Q287"/>
    </row>
    <row r="288" spans="1:17" ht="12.75">
      <c r="A288"/>
      <c r="B288"/>
      <c r="C288" s="2"/>
      <c r="D288" s="2"/>
      <c r="O288"/>
      <c r="P288"/>
      <c r="Q288"/>
    </row>
    <row r="289" spans="1:17" ht="12.75">
      <c r="A289"/>
      <c r="B289"/>
      <c r="C289" s="2"/>
      <c r="D289" s="2"/>
      <c r="O289"/>
      <c r="P289"/>
      <c r="Q289"/>
    </row>
    <row r="290" spans="1:17" ht="12.75">
      <c r="A290"/>
      <c r="B290"/>
      <c r="C290" s="2"/>
      <c r="D290" s="2"/>
      <c r="O290"/>
      <c r="P290"/>
      <c r="Q290"/>
    </row>
    <row r="291" spans="1:17" ht="12.75">
      <c r="A291"/>
      <c r="B291"/>
      <c r="C291" s="2"/>
      <c r="D291" s="2"/>
      <c r="O291"/>
      <c r="P291"/>
      <c r="Q291"/>
    </row>
    <row r="292" spans="1:17" ht="12.75">
      <c r="A292"/>
      <c r="B292"/>
      <c r="C292" s="2"/>
      <c r="D292" s="2"/>
      <c r="O292"/>
      <c r="P292"/>
      <c r="Q292"/>
    </row>
    <row r="293" spans="1:17" ht="12.75">
      <c r="A293"/>
      <c r="B293"/>
      <c r="C293" s="2"/>
      <c r="D293" s="2"/>
      <c r="O293"/>
      <c r="P293"/>
      <c r="Q293"/>
    </row>
    <row r="294" spans="1:17" ht="12.75">
      <c r="A294"/>
      <c r="B294"/>
      <c r="C294" s="2"/>
      <c r="D294" s="2"/>
      <c r="O294"/>
      <c r="P294"/>
      <c r="Q294"/>
    </row>
    <row r="295" spans="1:17" ht="12.75">
      <c r="A295"/>
      <c r="B295"/>
      <c r="C295" s="2"/>
      <c r="D295" s="2"/>
      <c r="O295"/>
      <c r="P295"/>
      <c r="Q295"/>
    </row>
    <row r="296" spans="1:17" ht="12.75">
      <c r="A296"/>
      <c r="B296"/>
      <c r="C296" s="2"/>
      <c r="D296" s="2"/>
      <c r="O296"/>
      <c r="P296"/>
      <c r="Q296"/>
    </row>
    <row r="297" spans="1:17" ht="12.75">
      <c r="A297"/>
      <c r="B297"/>
      <c r="C297" s="2"/>
      <c r="D297" s="2"/>
      <c r="O297"/>
      <c r="P297"/>
      <c r="Q297"/>
    </row>
    <row r="298" spans="1:17" ht="12.75">
      <c r="A298"/>
      <c r="B298"/>
      <c r="C298" s="2"/>
      <c r="D298" s="2"/>
      <c r="O298"/>
      <c r="P298"/>
      <c r="Q298"/>
    </row>
    <row r="299" spans="1:17" ht="12.75">
      <c r="A299"/>
      <c r="B299"/>
      <c r="C299" s="2"/>
      <c r="D299" s="2"/>
      <c r="O299"/>
      <c r="P299"/>
      <c r="Q299"/>
    </row>
    <row r="300" spans="1:17" ht="12.75">
      <c r="A300"/>
      <c r="B300"/>
      <c r="C300" s="2"/>
      <c r="D300" s="2"/>
      <c r="O300"/>
      <c r="P300"/>
      <c r="Q300"/>
    </row>
    <row r="301" spans="1:17" ht="12.75">
      <c r="A301"/>
      <c r="B301"/>
      <c r="C301" s="2"/>
      <c r="D301" s="2"/>
      <c r="O301"/>
      <c r="P301"/>
      <c r="Q301"/>
    </row>
    <row r="302" spans="1:17" ht="12.75">
      <c r="A302"/>
      <c r="B302"/>
      <c r="C302" s="2"/>
      <c r="D302" s="2"/>
      <c r="O302"/>
      <c r="P302"/>
      <c r="Q302"/>
    </row>
    <row r="303" spans="1:17" ht="12.75">
      <c r="A303"/>
      <c r="B303"/>
      <c r="C303" s="2"/>
      <c r="D303" s="2"/>
      <c r="O303"/>
      <c r="P303"/>
      <c r="Q303"/>
    </row>
    <row r="304" spans="1:17" ht="12.75">
      <c r="A304"/>
      <c r="B304"/>
      <c r="C304" s="2"/>
      <c r="D304" s="2"/>
      <c r="O304"/>
      <c r="P304"/>
      <c r="Q304"/>
    </row>
    <row r="305" spans="1:17" ht="12.75">
      <c r="A305"/>
      <c r="B305"/>
      <c r="C305"/>
      <c r="D305"/>
      <c r="O305"/>
      <c r="P305"/>
      <c r="Q305"/>
    </row>
    <row r="306" spans="1:17" ht="12.75">
      <c r="A306"/>
      <c r="B306"/>
      <c r="C306"/>
      <c r="D306"/>
      <c r="O306"/>
      <c r="P306"/>
      <c r="Q306"/>
    </row>
    <row r="307" spans="1:17" ht="12.75">
      <c r="A307"/>
      <c r="B307"/>
      <c r="C307"/>
      <c r="D307"/>
      <c r="O307"/>
      <c r="P307"/>
      <c r="Q307"/>
    </row>
    <row r="308" spans="1:17" ht="12.75">
      <c r="A308"/>
      <c r="B308"/>
      <c r="C308"/>
      <c r="D308"/>
      <c r="O308"/>
      <c r="P308"/>
      <c r="Q308"/>
    </row>
    <row r="309" spans="15:17" ht="12.75">
      <c r="O309"/>
      <c r="P309"/>
      <c r="Q309"/>
    </row>
    <row r="310" spans="15:17" ht="12.75">
      <c r="O310"/>
      <c r="P310"/>
      <c r="Q310"/>
    </row>
    <row r="311" spans="15:17" ht="12.75">
      <c r="O311"/>
      <c r="P311"/>
      <c r="Q311"/>
    </row>
    <row r="312" spans="15:17" ht="12.75">
      <c r="O312"/>
      <c r="P312"/>
      <c r="Q312"/>
    </row>
    <row r="313" spans="15:17" ht="12.75">
      <c r="O313"/>
      <c r="P313"/>
      <c r="Q313"/>
    </row>
    <row r="314" spans="15:17" ht="12.75">
      <c r="O314"/>
      <c r="P314"/>
      <c r="Q314"/>
    </row>
    <row r="315" spans="15:17" ht="12.75">
      <c r="O315"/>
      <c r="P315"/>
      <c r="Q315"/>
    </row>
    <row r="316" spans="15:17" ht="12.75">
      <c r="O316"/>
      <c r="P316"/>
      <c r="Q316"/>
    </row>
    <row r="317" spans="15:17" ht="12.75">
      <c r="O317"/>
      <c r="P317"/>
      <c r="Q317"/>
    </row>
    <row r="318" spans="15:17" ht="12.75">
      <c r="O318"/>
      <c r="P318"/>
      <c r="Q318"/>
    </row>
    <row r="319" spans="15:17" ht="12.75">
      <c r="O319"/>
      <c r="P319"/>
      <c r="Q319"/>
    </row>
    <row r="320" spans="15:17" ht="12.75">
      <c r="O320"/>
      <c r="P320"/>
      <c r="Q320"/>
    </row>
    <row r="321" spans="15:17" ht="12.75">
      <c r="O321"/>
      <c r="P321"/>
      <c r="Q321"/>
    </row>
    <row r="322" spans="15:17" ht="12.75">
      <c r="O322"/>
      <c r="P322"/>
      <c r="Q322"/>
    </row>
    <row r="323" spans="15:17" ht="12.75">
      <c r="O323"/>
      <c r="P323"/>
      <c r="Q323"/>
    </row>
    <row r="324" spans="15:17" ht="12.75">
      <c r="O324"/>
      <c r="P324"/>
      <c r="Q324"/>
    </row>
    <row r="325" spans="15:17" ht="12.75">
      <c r="O325"/>
      <c r="P325"/>
      <c r="Q325"/>
    </row>
    <row r="326" spans="15:17" ht="12.75">
      <c r="O326"/>
      <c r="P326"/>
      <c r="Q326"/>
    </row>
    <row r="327" spans="15:17" ht="12.75">
      <c r="O327"/>
      <c r="P327"/>
      <c r="Q327"/>
    </row>
    <row r="328" spans="15:17" ht="12.75">
      <c r="O328"/>
      <c r="P328"/>
      <c r="Q328"/>
    </row>
    <row r="329" spans="15:17" ht="12.75">
      <c r="O329"/>
      <c r="P329"/>
      <c r="Q329"/>
    </row>
    <row r="330" spans="15:17" ht="12.75">
      <c r="O330"/>
      <c r="P330"/>
      <c r="Q330"/>
    </row>
    <row r="331" spans="15:17" ht="12.75">
      <c r="O331"/>
      <c r="P331"/>
      <c r="Q331"/>
    </row>
    <row r="332" spans="15:17" ht="12.75">
      <c r="O332"/>
      <c r="P332"/>
      <c r="Q332"/>
    </row>
    <row r="333" spans="15:17" ht="12.75">
      <c r="O333"/>
      <c r="P333"/>
      <c r="Q333"/>
    </row>
    <row r="334" spans="15:17" ht="12.75">
      <c r="O334"/>
      <c r="P334"/>
      <c r="Q334"/>
    </row>
    <row r="335" spans="15:17" ht="12.75">
      <c r="O335"/>
      <c r="P335"/>
      <c r="Q335"/>
    </row>
    <row r="336" spans="15:17" ht="12.75">
      <c r="O336"/>
      <c r="P336"/>
      <c r="Q336"/>
    </row>
    <row r="337" spans="15:17" ht="12.75">
      <c r="O337"/>
      <c r="P337"/>
      <c r="Q337"/>
    </row>
    <row r="338" spans="15:17" ht="12.75">
      <c r="O338"/>
      <c r="P338"/>
      <c r="Q338"/>
    </row>
    <row r="339" spans="15:17" ht="12.75">
      <c r="O339"/>
      <c r="P339"/>
      <c r="Q339"/>
    </row>
    <row r="340" spans="15:17" ht="12.75">
      <c r="O340"/>
      <c r="P340"/>
      <c r="Q340"/>
    </row>
    <row r="341" spans="15:17" ht="12.75">
      <c r="O341"/>
      <c r="P341"/>
      <c r="Q341"/>
    </row>
    <row r="342" spans="15:17" ht="12.75">
      <c r="O342"/>
      <c r="P342"/>
      <c r="Q342"/>
    </row>
    <row r="343" spans="15:17" ht="12.75">
      <c r="O343"/>
      <c r="P343"/>
      <c r="Q343"/>
    </row>
    <row r="344" spans="15:17" ht="12.75">
      <c r="O344"/>
      <c r="P344"/>
      <c r="Q344"/>
    </row>
    <row r="345" spans="15:17" ht="12.75">
      <c r="O345"/>
      <c r="P345"/>
      <c r="Q345"/>
    </row>
    <row r="346" spans="15:17" ht="12.75">
      <c r="O346"/>
      <c r="P346"/>
      <c r="Q346"/>
    </row>
    <row r="347" spans="15:17" ht="12.75">
      <c r="O347"/>
      <c r="P347"/>
      <c r="Q347"/>
    </row>
    <row r="348" spans="15:17" ht="12.75">
      <c r="O348"/>
      <c r="P348"/>
      <c r="Q348"/>
    </row>
    <row r="349" spans="15:17" ht="12.75">
      <c r="O349"/>
      <c r="P349"/>
      <c r="Q349"/>
    </row>
    <row r="350" spans="15:17" ht="12.75">
      <c r="O350"/>
      <c r="P350"/>
      <c r="Q350"/>
    </row>
    <row r="351" spans="15:17" ht="12.75">
      <c r="O351"/>
      <c r="P351"/>
      <c r="Q351"/>
    </row>
    <row r="352" spans="15:17" ht="12.75">
      <c r="O352"/>
      <c r="P352"/>
      <c r="Q352"/>
    </row>
    <row r="353" spans="15:17" ht="12.75">
      <c r="O353"/>
      <c r="P353"/>
      <c r="Q353"/>
    </row>
    <row r="354" spans="15:17" ht="12.75">
      <c r="O354"/>
      <c r="P354"/>
      <c r="Q354"/>
    </row>
    <row r="355" spans="15:17" ht="12.75">
      <c r="O355"/>
      <c r="P355"/>
      <c r="Q355"/>
    </row>
    <row r="356" spans="15:17" ht="12.75">
      <c r="O356"/>
      <c r="P356"/>
      <c r="Q356"/>
    </row>
    <row r="357" spans="15:17" ht="12.75">
      <c r="O357"/>
      <c r="P357"/>
      <c r="Q357"/>
    </row>
    <row r="358" spans="15:17" ht="12.75">
      <c r="O358"/>
      <c r="P358"/>
      <c r="Q358"/>
    </row>
    <row r="359" spans="15:17" ht="12.75">
      <c r="O359"/>
      <c r="P359"/>
      <c r="Q359"/>
    </row>
    <row r="360" spans="15:17" ht="12.75">
      <c r="O360"/>
      <c r="P360"/>
      <c r="Q360"/>
    </row>
    <row r="361" spans="15:17" ht="12.75">
      <c r="O361"/>
      <c r="P361"/>
      <c r="Q361"/>
    </row>
    <row r="362" spans="15:17" ht="12.75">
      <c r="O362"/>
      <c r="P362"/>
      <c r="Q362"/>
    </row>
    <row r="363" spans="15:17" ht="12.75">
      <c r="O363"/>
      <c r="P363"/>
      <c r="Q363"/>
    </row>
    <row r="364" spans="15:17" ht="12.75">
      <c r="O364"/>
      <c r="P364"/>
      <c r="Q364"/>
    </row>
    <row r="365" spans="15:17" ht="12.75">
      <c r="O365"/>
      <c r="P365"/>
      <c r="Q365"/>
    </row>
    <row r="366" spans="15:17" ht="12.75">
      <c r="O366"/>
      <c r="P366"/>
      <c r="Q366"/>
    </row>
    <row r="367" spans="15:17" ht="12.75">
      <c r="O367"/>
      <c r="P367"/>
      <c r="Q367"/>
    </row>
    <row r="368" spans="15:17" ht="12.75">
      <c r="O368"/>
      <c r="P368"/>
      <c r="Q368"/>
    </row>
    <row r="369" spans="15:17" ht="12.75">
      <c r="O369"/>
      <c r="P369"/>
      <c r="Q369"/>
    </row>
    <row r="370" spans="15:17" ht="12.75">
      <c r="O370"/>
      <c r="P370"/>
      <c r="Q370"/>
    </row>
    <row r="371" spans="15:17" ht="12.75">
      <c r="O371"/>
      <c r="P371"/>
      <c r="Q371"/>
    </row>
    <row r="372" spans="15:17" ht="12.75">
      <c r="O372"/>
      <c r="P372"/>
      <c r="Q372"/>
    </row>
    <row r="373" spans="15:17" ht="12.75">
      <c r="O373"/>
      <c r="P373"/>
      <c r="Q373"/>
    </row>
    <row r="374" spans="15:17" ht="12.75">
      <c r="O374"/>
      <c r="P374"/>
      <c r="Q374"/>
    </row>
    <row r="375" spans="15:17" ht="12.75">
      <c r="O375"/>
      <c r="P375"/>
      <c r="Q375"/>
    </row>
    <row r="376" spans="15:17" ht="12.75">
      <c r="O376"/>
      <c r="P376"/>
      <c r="Q376"/>
    </row>
    <row r="377" spans="15:17" ht="12.75">
      <c r="O377"/>
      <c r="P377"/>
      <c r="Q377"/>
    </row>
    <row r="378" spans="15:17" ht="12.75">
      <c r="O378"/>
      <c r="P378"/>
      <c r="Q378"/>
    </row>
    <row r="379" spans="15:17" ht="12.75">
      <c r="O379"/>
      <c r="P379"/>
      <c r="Q379"/>
    </row>
    <row r="380" spans="15:17" ht="12.75">
      <c r="O380"/>
      <c r="P380"/>
      <c r="Q380"/>
    </row>
    <row r="381" spans="15:17" ht="12.75">
      <c r="O381"/>
      <c r="P381"/>
      <c r="Q381"/>
    </row>
    <row r="382" spans="15:17" ht="12.75">
      <c r="O382"/>
      <c r="P382"/>
      <c r="Q382"/>
    </row>
    <row r="383" spans="15:17" ht="12.75">
      <c r="O383"/>
      <c r="P383"/>
      <c r="Q383"/>
    </row>
    <row r="384" spans="15:17" ht="12.75">
      <c r="O384"/>
      <c r="P384"/>
      <c r="Q384"/>
    </row>
    <row r="385" spans="15:17" ht="12.75">
      <c r="O385"/>
      <c r="P385"/>
      <c r="Q385"/>
    </row>
    <row r="386" spans="15:17" ht="12.75">
      <c r="O386"/>
      <c r="P386"/>
      <c r="Q386"/>
    </row>
    <row r="387" spans="15:17" ht="12.75">
      <c r="O387"/>
      <c r="P387"/>
      <c r="Q387"/>
    </row>
    <row r="388" spans="15:17" ht="12.75">
      <c r="O388"/>
      <c r="P388"/>
      <c r="Q388"/>
    </row>
    <row r="389" spans="15:17" ht="12.75">
      <c r="O389"/>
      <c r="P389"/>
      <c r="Q389"/>
    </row>
    <row r="390" spans="15:17" ht="12.75">
      <c r="O390"/>
      <c r="P390"/>
      <c r="Q390"/>
    </row>
    <row r="391" spans="15:17" ht="12.75">
      <c r="O391"/>
      <c r="P391"/>
      <c r="Q391"/>
    </row>
    <row r="392" spans="15:17" ht="12.75">
      <c r="O392"/>
      <c r="P392"/>
      <c r="Q392"/>
    </row>
    <row r="393" spans="15:17" ht="12.75">
      <c r="O393"/>
      <c r="P393"/>
      <c r="Q393"/>
    </row>
    <row r="394" spans="15:17" ht="12.75">
      <c r="O394"/>
      <c r="P394"/>
      <c r="Q394"/>
    </row>
    <row r="395" spans="15:17" ht="12.75">
      <c r="O395"/>
      <c r="P395"/>
      <c r="Q395"/>
    </row>
    <row r="396" spans="15:17" ht="12.75">
      <c r="O396"/>
      <c r="P396"/>
      <c r="Q396"/>
    </row>
    <row r="397" spans="15:17" ht="12.75">
      <c r="O397"/>
      <c r="P397"/>
      <c r="Q397"/>
    </row>
    <row r="398" spans="15:17" ht="12.75">
      <c r="O398"/>
      <c r="P398"/>
      <c r="Q398"/>
    </row>
    <row r="399" spans="15:17" ht="12.75">
      <c r="O399"/>
      <c r="P399"/>
      <c r="Q399"/>
    </row>
    <row r="400" spans="15:17" ht="12.75">
      <c r="O400"/>
      <c r="P400"/>
      <c r="Q400"/>
    </row>
    <row r="401" spans="15:17" ht="12.75">
      <c r="O401"/>
      <c r="P401"/>
      <c r="Q401"/>
    </row>
    <row r="402" spans="15:17" ht="12.75">
      <c r="O402"/>
      <c r="P402"/>
      <c r="Q402"/>
    </row>
    <row r="403" spans="15:17" ht="12.75">
      <c r="O403"/>
      <c r="P403"/>
      <c r="Q403"/>
    </row>
    <row r="404" spans="15:17" ht="12.75">
      <c r="O404"/>
      <c r="P404"/>
      <c r="Q404"/>
    </row>
    <row r="405" spans="15:17" ht="12.75">
      <c r="O405"/>
      <c r="P405"/>
      <c r="Q405"/>
    </row>
    <row r="406" spans="15:17" ht="12.75">
      <c r="O406"/>
      <c r="P406"/>
      <c r="Q406"/>
    </row>
    <row r="407" spans="15:17" ht="12.75">
      <c r="O407"/>
      <c r="P407"/>
      <c r="Q407"/>
    </row>
    <row r="408" spans="15:17" ht="12.75">
      <c r="O408"/>
      <c r="P408"/>
      <c r="Q408"/>
    </row>
    <row r="409" spans="15:17" ht="12.75">
      <c r="O409"/>
      <c r="P409"/>
      <c r="Q409"/>
    </row>
    <row r="410" spans="15:17" ht="12.75">
      <c r="O410"/>
      <c r="P410"/>
      <c r="Q410"/>
    </row>
    <row r="411" spans="15:17" ht="12.75">
      <c r="O411"/>
      <c r="P411"/>
      <c r="Q411"/>
    </row>
    <row r="412" spans="15:17" ht="12.75">
      <c r="O412"/>
      <c r="P412"/>
      <c r="Q412"/>
    </row>
    <row r="413" spans="15:17" ht="12.75">
      <c r="O413"/>
      <c r="P413"/>
      <c r="Q413"/>
    </row>
    <row r="414" spans="15:17" ht="12.75">
      <c r="O414"/>
      <c r="P414"/>
      <c r="Q414"/>
    </row>
    <row r="415" spans="15:17" ht="12.75">
      <c r="O415"/>
      <c r="P415"/>
      <c r="Q415"/>
    </row>
    <row r="416" spans="15:17" ht="12.75">
      <c r="O416"/>
      <c r="P416"/>
      <c r="Q416"/>
    </row>
    <row r="417" spans="15:17" ht="12.75">
      <c r="O417"/>
      <c r="P417"/>
      <c r="Q417"/>
    </row>
    <row r="418" spans="15:17" ht="12.75">
      <c r="O418"/>
      <c r="P418"/>
      <c r="Q418"/>
    </row>
    <row r="419" spans="15:17" ht="12.75">
      <c r="O419"/>
      <c r="P419"/>
      <c r="Q419"/>
    </row>
    <row r="420" spans="15:17" ht="12.75">
      <c r="O420"/>
      <c r="P420"/>
      <c r="Q420"/>
    </row>
    <row r="421" spans="15:17" ht="12.75">
      <c r="O421"/>
      <c r="P421"/>
      <c r="Q421"/>
    </row>
    <row r="422" spans="15:17" ht="12.75">
      <c r="O422"/>
      <c r="P422"/>
      <c r="Q422"/>
    </row>
    <row r="423" spans="15:17" ht="12.75">
      <c r="O423"/>
      <c r="P423"/>
      <c r="Q423"/>
    </row>
    <row r="424" spans="15:17" ht="12.75">
      <c r="O424"/>
      <c r="P424"/>
      <c r="Q424"/>
    </row>
    <row r="425" spans="15:17" ht="12.75">
      <c r="O425"/>
      <c r="P425"/>
      <c r="Q425"/>
    </row>
    <row r="426" spans="15:17" ht="12.75">
      <c r="O426"/>
      <c r="P426"/>
      <c r="Q426"/>
    </row>
    <row r="427" spans="15:17" ht="12.75">
      <c r="O427"/>
      <c r="P427"/>
      <c r="Q427"/>
    </row>
    <row r="428" spans="15:17" ht="12.75">
      <c r="O428"/>
      <c r="P428"/>
      <c r="Q428"/>
    </row>
    <row r="429" spans="15:17" ht="12.75">
      <c r="O429"/>
      <c r="P429"/>
      <c r="Q429"/>
    </row>
    <row r="430" spans="15:17" ht="12.75">
      <c r="O430"/>
      <c r="P430"/>
      <c r="Q430"/>
    </row>
    <row r="431" spans="15:17" ht="12.75">
      <c r="O431"/>
      <c r="P431"/>
      <c r="Q431"/>
    </row>
    <row r="432" spans="15:17" ht="12.75">
      <c r="O432"/>
      <c r="P432"/>
      <c r="Q432"/>
    </row>
    <row r="433" spans="15:17" ht="12.75">
      <c r="O433"/>
      <c r="P433"/>
      <c r="Q433"/>
    </row>
    <row r="434" spans="15:17" ht="12.75">
      <c r="O434"/>
      <c r="P434"/>
      <c r="Q434"/>
    </row>
    <row r="435" spans="15:17" ht="12.75">
      <c r="O435"/>
      <c r="P435"/>
      <c r="Q435"/>
    </row>
    <row r="436" spans="15:17" ht="12.75">
      <c r="O436"/>
      <c r="P436"/>
      <c r="Q436"/>
    </row>
    <row r="437" spans="15:17" ht="12.75">
      <c r="O437"/>
      <c r="P437"/>
      <c r="Q437"/>
    </row>
    <row r="438" spans="15:17" ht="12.75">
      <c r="O438"/>
      <c r="P438"/>
      <c r="Q438"/>
    </row>
    <row r="439" spans="15:17" ht="12.75">
      <c r="O439"/>
      <c r="P439"/>
      <c r="Q439"/>
    </row>
    <row r="440" spans="15:17" ht="12.75">
      <c r="O440"/>
      <c r="P440"/>
      <c r="Q440"/>
    </row>
    <row r="441" spans="15:17" ht="12.75">
      <c r="O441"/>
      <c r="P441"/>
      <c r="Q441"/>
    </row>
    <row r="442" spans="15:17" ht="12.75">
      <c r="O442"/>
      <c r="P442"/>
      <c r="Q442"/>
    </row>
    <row r="443" spans="15:17" ht="12.75">
      <c r="O443"/>
      <c r="P443"/>
      <c r="Q443"/>
    </row>
    <row r="444" spans="15:17" ht="12.75">
      <c r="O444"/>
      <c r="P444"/>
      <c r="Q444"/>
    </row>
    <row r="445" spans="15:17" ht="12.75">
      <c r="O445"/>
      <c r="P445"/>
      <c r="Q445"/>
    </row>
    <row r="446" spans="15:17" ht="12.75">
      <c r="O446"/>
      <c r="P446"/>
      <c r="Q446"/>
    </row>
    <row r="447" spans="15:17" ht="12.75">
      <c r="O447"/>
      <c r="P447"/>
      <c r="Q447"/>
    </row>
    <row r="448" spans="15:17" ht="12.75">
      <c r="O448"/>
      <c r="P448"/>
      <c r="Q448"/>
    </row>
    <row r="449" spans="15:17" ht="12.75">
      <c r="O449"/>
      <c r="P449"/>
      <c r="Q449"/>
    </row>
    <row r="450" spans="15:17" ht="12.75">
      <c r="O450"/>
      <c r="P450"/>
      <c r="Q450"/>
    </row>
    <row r="451" spans="15:17" ht="12.75">
      <c r="O451"/>
      <c r="P451"/>
      <c r="Q451"/>
    </row>
    <row r="452" spans="15:17" ht="12.75">
      <c r="O452"/>
      <c r="P452"/>
      <c r="Q452"/>
    </row>
    <row r="453" spans="15:17" ht="12.75">
      <c r="O453"/>
      <c r="P453"/>
      <c r="Q453"/>
    </row>
    <row r="454" spans="15:17" ht="12.75">
      <c r="O454"/>
      <c r="P454"/>
      <c r="Q454"/>
    </row>
    <row r="455" spans="15:17" ht="12.75">
      <c r="O455"/>
      <c r="P455"/>
      <c r="Q455"/>
    </row>
    <row r="456" spans="15:17" ht="12.75">
      <c r="O456"/>
      <c r="P456"/>
      <c r="Q456"/>
    </row>
    <row r="457" spans="15:17" ht="12.75">
      <c r="O457"/>
      <c r="P457"/>
      <c r="Q457"/>
    </row>
    <row r="458" spans="15:17" ht="12.75">
      <c r="O458"/>
      <c r="P458"/>
      <c r="Q458"/>
    </row>
    <row r="459" spans="15:17" ht="12.75">
      <c r="O459"/>
      <c r="P459"/>
      <c r="Q459"/>
    </row>
    <row r="460" spans="15:17" ht="12.75">
      <c r="O460"/>
      <c r="P460"/>
      <c r="Q460"/>
    </row>
    <row r="461" spans="15:17" ht="12.75">
      <c r="O461"/>
      <c r="P461"/>
      <c r="Q461"/>
    </row>
    <row r="462" spans="15:17" ht="12.75">
      <c r="O462"/>
      <c r="P462"/>
      <c r="Q462"/>
    </row>
    <row r="463" spans="15:17" ht="12.75">
      <c r="O463"/>
      <c r="P463"/>
      <c r="Q463"/>
    </row>
    <row r="464" spans="15:17" ht="12.75">
      <c r="O464"/>
      <c r="P464"/>
      <c r="Q464"/>
    </row>
    <row r="465" spans="15:17" ht="12.75">
      <c r="O465"/>
      <c r="P465"/>
      <c r="Q465"/>
    </row>
    <row r="466" spans="15:17" ht="12.75">
      <c r="O466"/>
      <c r="P466"/>
      <c r="Q466"/>
    </row>
    <row r="467" spans="15:17" ht="12.75">
      <c r="O467"/>
      <c r="P467"/>
      <c r="Q467"/>
    </row>
    <row r="468" spans="15:17" ht="12.75">
      <c r="O468"/>
      <c r="P468"/>
      <c r="Q468"/>
    </row>
    <row r="469" spans="15:17" ht="12.75">
      <c r="O469"/>
      <c r="P469"/>
      <c r="Q469"/>
    </row>
    <row r="470" spans="15:17" ht="12.75">
      <c r="O470"/>
      <c r="P470"/>
      <c r="Q470"/>
    </row>
    <row r="471" spans="15:17" ht="12.75">
      <c r="O471"/>
      <c r="P471"/>
      <c r="Q471"/>
    </row>
    <row r="472" spans="15:17" ht="12.75">
      <c r="O472"/>
      <c r="P472"/>
      <c r="Q472"/>
    </row>
    <row r="473" spans="15:17" ht="12.75">
      <c r="O473"/>
      <c r="P473"/>
      <c r="Q473"/>
    </row>
    <row r="474" spans="15:17" ht="12.75">
      <c r="O474"/>
      <c r="P474"/>
      <c r="Q474"/>
    </row>
    <row r="475" spans="15:17" ht="12.75">
      <c r="O475"/>
      <c r="P475"/>
      <c r="Q475"/>
    </row>
    <row r="476" spans="15:17" ht="12.75">
      <c r="O476"/>
      <c r="P476"/>
      <c r="Q476"/>
    </row>
    <row r="477" spans="15:17" ht="12.75">
      <c r="O477"/>
      <c r="P477"/>
      <c r="Q477"/>
    </row>
    <row r="478" spans="15:17" ht="12.75">
      <c r="O478"/>
      <c r="P478"/>
      <c r="Q478"/>
    </row>
    <row r="479" spans="15:17" ht="12.75">
      <c r="O479"/>
      <c r="P479"/>
      <c r="Q479"/>
    </row>
    <row r="480" spans="15:17" ht="12.75">
      <c r="O480"/>
      <c r="P480"/>
      <c r="Q480"/>
    </row>
    <row r="481" spans="15:17" ht="12.75">
      <c r="O481"/>
      <c r="P481"/>
      <c r="Q481"/>
    </row>
    <row r="482" spans="15:17" ht="12.75">
      <c r="O482"/>
      <c r="P482"/>
      <c r="Q482"/>
    </row>
    <row r="483" spans="15:17" ht="12.75">
      <c r="O483"/>
      <c r="P483"/>
      <c r="Q483"/>
    </row>
    <row r="484" spans="15:17" ht="12.75">
      <c r="O484"/>
      <c r="P484"/>
      <c r="Q484"/>
    </row>
    <row r="485" spans="15:17" ht="12.75">
      <c r="O485"/>
      <c r="P485"/>
      <c r="Q485"/>
    </row>
    <row r="486" spans="15:17" ht="12.75">
      <c r="O486"/>
      <c r="P486"/>
      <c r="Q486"/>
    </row>
    <row r="487" spans="15:17" ht="12.75">
      <c r="O487"/>
      <c r="P487"/>
      <c r="Q487"/>
    </row>
    <row r="488" spans="15:17" ht="12.75">
      <c r="O488"/>
      <c r="P488"/>
      <c r="Q488"/>
    </row>
    <row r="489" spans="15:17" ht="12.75">
      <c r="O489"/>
      <c r="P489"/>
      <c r="Q489"/>
    </row>
    <row r="490" spans="15:17" ht="12.75">
      <c r="O490"/>
      <c r="P490"/>
      <c r="Q490"/>
    </row>
    <row r="491" spans="15:17" ht="12.75">
      <c r="O491"/>
      <c r="P491"/>
      <c r="Q491"/>
    </row>
    <row r="492" spans="15:17" ht="12.75">
      <c r="O492"/>
      <c r="P492"/>
      <c r="Q492"/>
    </row>
    <row r="493" spans="15:17" ht="12.75">
      <c r="O493"/>
      <c r="P493"/>
      <c r="Q493"/>
    </row>
    <row r="494" spans="15:17" ht="12.75">
      <c r="O494"/>
      <c r="P494"/>
      <c r="Q494"/>
    </row>
    <row r="495" spans="15:17" ht="12.75">
      <c r="O495"/>
      <c r="P495"/>
      <c r="Q495"/>
    </row>
    <row r="496" spans="15:17" ht="12.75">
      <c r="O496"/>
      <c r="P496"/>
      <c r="Q496"/>
    </row>
    <row r="497" spans="15:17" ht="12.75">
      <c r="O497"/>
      <c r="P497"/>
      <c r="Q497"/>
    </row>
    <row r="498" spans="15:17" ht="12.75">
      <c r="O498"/>
      <c r="P498"/>
      <c r="Q498"/>
    </row>
    <row r="499" spans="15:17" ht="12.75">
      <c r="O499"/>
      <c r="P499"/>
      <c r="Q499"/>
    </row>
    <row r="500" spans="15:17" ht="12.75">
      <c r="O500"/>
      <c r="P500"/>
      <c r="Q500"/>
    </row>
    <row r="501" spans="15:17" ht="12.75">
      <c r="O501"/>
      <c r="P501"/>
      <c r="Q501"/>
    </row>
    <row r="502" spans="15:17" ht="12.75">
      <c r="O502"/>
      <c r="P502"/>
      <c r="Q502"/>
    </row>
    <row r="503" spans="15:17" ht="12.75">
      <c r="O503"/>
      <c r="P503"/>
      <c r="Q503"/>
    </row>
    <row r="504" spans="15:17" ht="12.75">
      <c r="O504"/>
      <c r="P504"/>
      <c r="Q504"/>
    </row>
    <row r="505" spans="15:17" ht="12.75">
      <c r="O505"/>
      <c r="P505"/>
      <c r="Q505"/>
    </row>
    <row r="506" spans="15:17" ht="12.75">
      <c r="O506"/>
      <c r="P506"/>
      <c r="Q506"/>
    </row>
    <row r="507" spans="15:17" ht="12.75">
      <c r="O507"/>
      <c r="P507"/>
      <c r="Q507"/>
    </row>
    <row r="508" spans="15:17" ht="12.75">
      <c r="O508"/>
      <c r="P508"/>
      <c r="Q508"/>
    </row>
    <row r="509" spans="15:17" ht="12.75">
      <c r="O509"/>
      <c r="P509"/>
      <c r="Q509"/>
    </row>
    <row r="510" spans="15:17" ht="12.75">
      <c r="O510"/>
      <c r="P510"/>
      <c r="Q510"/>
    </row>
    <row r="511" spans="15:17" ht="12.75">
      <c r="O511"/>
      <c r="P511"/>
      <c r="Q511"/>
    </row>
    <row r="512" spans="15:17" ht="12.75">
      <c r="O512"/>
      <c r="P512"/>
      <c r="Q512"/>
    </row>
    <row r="513" spans="15:17" ht="12.75">
      <c r="O513"/>
      <c r="P513"/>
      <c r="Q513"/>
    </row>
    <row r="514" spans="15:17" ht="12.75">
      <c r="O514"/>
      <c r="P514"/>
      <c r="Q514"/>
    </row>
    <row r="515" spans="15:17" ht="12.75">
      <c r="O515"/>
      <c r="P515"/>
      <c r="Q515"/>
    </row>
    <row r="516" spans="15:17" ht="12.75">
      <c r="O516"/>
      <c r="P516"/>
      <c r="Q516"/>
    </row>
    <row r="517" spans="15:17" ht="12.75">
      <c r="O517"/>
      <c r="P517"/>
      <c r="Q517"/>
    </row>
    <row r="518" spans="15:17" ht="12.75">
      <c r="O518"/>
      <c r="P518"/>
      <c r="Q518"/>
    </row>
    <row r="519" spans="15:17" ht="12.75">
      <c r="O519"/>
      <c r="P519"/>
      <c r="Q519"/>
    </row>
    <row r="520" spans="15:17" ht="12.75">
      <c r="O520"/>
      <c r="P520"/>
      <c r="Q520"/>
    </row>
    <row r="521" spans="15:17" ht="12.75">
      <c r="O521"/>
      <c r="P521"/>
      <c r="Q521"/>
    </row>
    <row r="522" spans="15:17" ht="12.75">
      <c r="O522"/>
      <c r="P522"/>
      <c r="Q522"/>
    </row>
    <row r="523" spans="15:17" ht="12.75">
      <c r="O523"/>
      <c r="P523"/>
      <c r="Q523"/>
    </row>
    <row r="524" spans="15:17" ht="12.75">
      <c r="O524"/>
      <c r="P524"/>
      <c r="Q524"/>
    </row>
    <row r="525" spans="15:17" ht="12.75">
      <c r="O525"/>
      <c r="P525"/>
      <c r="Q525"/>
    </row>
    <row r="526" spans="15:17" ht="12.75">
      <c r="O526"/>
      <c r="P526"/>
      <c r="Q526"/>
    </row>
    <row r="527" spans="15:17" ht="12.75">
      <c r="O527"/>
      <c r="P527"/>
      <c r="Q527"/>
    </row>
    <row r="528" spans="15:17" ht="12.75">
      <c r="O528"/>
      <c r="P528"/>
      <c r="Q528"/>
    </row>
    <row r="529" spans="15:17" ht="12.75">
      <c r="O529"/>
      <c r="P529"/>
      <c r="Q529"/>
    </row>
    <row r="530" spans="15:17" ht="12.75">
      <c r="O530"/>
      <c r="P530"/>
      <c r="Q530"/>
    </row>
    <row r="531" spans="15:17" ht="12.75">
      <c r="O531"/>
      <c r="P531"/>
      <c r="Q531"/>
    </row>
    <row r="532" spans="15:17" ht="12.75">
      <c r="O532"/>
      <c r="P532"/>
      <c r="Q532"/>
    </row>
    <row r="533" spans="15:17" ht="12.75">
      <c r="O533"/>
      <c r="P533"/>
      <c r="Q533"/>
    </row>
    <row r="534" spans="15:17" ht="12.75">
      <c r="O534"/>
      <c r="P534"/>
      <c r="Q534"/>
    </row>
    <row r="535" spans="15:17" ht="12.75">
      <c r="O535"/>
      <c r="P535"/>
      <c r="Q535"/>
    </row>
    <row r="536" spans="15:17" ht="12.75">
      <c r="O536"/>
      <c r="P536"/>
      <c r="Q536"/>
    </row>
    <row r="537" spans="15:17" ht="12.75">
      <c r="O537"/>
      <c r="P537"/>
      <c r="Q537"/>
    </row>
    <row r="538" spans="15:17" ht="12.75">
      <c r="O538"/>
      <c r="P538"/>
      <c r="Q538"/>
    </row>
    <row r="539" spans="15:17" ht="12.75">
      <c r="O539"/>
      <c r="P539"/>
      <c r="Q539"/>
    </row>
    <row r="540" spans="15:17" ht="12.75">
      <c r="O540"/>
      <c r="P540"/>
      <c r="Q540"/>
    </row>
    <row r="541" spans="15:17" ht="12.75">
      <c r="O541"/>
      <c r="P541"/>
      <c r="Q541"/>
    </row>
    <row r="542" spans="15:17" ht="12.75">
      <c r="O542"/>
      <c r="P542"/>
      <c r="Q542"/>
    </row>
    <row r="543" spans="15:17" ht="12.75">
      <c r="O543"/>
      <c r="P543"/>
      <c r="Q543"/>
    </row>
    <row r="544" spans="15:17" ht="12.75">
      <c r="O544"/>
      <c r="P544"/>
      <c r="Q544"/>
    </row>
    <row r="545" spans="15:17" ht="12.75">
      <c r="O545"/>
      <c r="P545"/>
      <c r="Q545"/>
    </row>
    <row r="546" spans="15:17" ht="12.75">
      <c r="O546"/>
      <c r="P546"/>
      <c r="Q546"/>
    </row>
    <row r="547" spans="15:17" ht="12.75">
      <c r="O547"/>
      <c r="P547"/>
      <c r="Q547"/>
    </row>
    <row r="548" spans="15:17" ht="12.75">
      <c r="O548"/>
      <c r="P548"/>
      <c r="Q548"/>
    </row>
    <row r="549" spans="15:17" ht="12.75">
      <c r="O549"/>
      <c r="P549"/>
      <c r="Q549"/>
    </row>
    <row r="550" spans="15:17" ht="12.75">
      <c r="O550"/>
      <c r="P550"/>
      <c r="Q550"/>
    </row>
    <row r="551" spans="15:17" ht="12.75">
      <c r="O551"/>
      <c r="P551"/>
      <c r="Q551"/>
    </row>
    <row r="552" spans="15:17" ht="12.75">
      <c r="O552"/>
      <c r="P552"/>
      <c r="Q552"/>
    </row>
    <row r="553" spans="15:17" ht="12.75">
      <c r="O553"/>
      <c r="P553"/>
      <c r="Q553"/>
    </row>
    <row r="554" spans="15:17" ht="12.75">
      <c r="O554"/>
      <c r="P554"/>
      <c r="Q554"/>
    </row>
    <row r="555" spans="15:17" ht="12.75">
      <c r="O555"/>
      <c r="P555"/>
      <c r="Q555"/>
    </row>
    <row r="556" spans="15:17" ht="12.75">
      <c r="O556"/>
      <c r="P556"/>
      <c r="Q556"/>
    </row>
    <row r="557" spans="15:17" ht="12.75">
      <c r="O557"/>
      <c r="P557"/>
      <c r="Q557"/>
    </row>
    <row r="558" spans="15:17" ht="12.75">
      <c r="O558"/>
      <c r="P558"/>
      <c r="Q558"/>
    </row>
    <row r="559" spans="15:17" ht="12.75">
      <c r="O559"/>
      <c r="P559"/>
      <c r="Q559"/>
    </row>
    <row r="560" spans="15:17" ht="12.75">
      <c r="O560"/>
      <c r="P560"/>
      <c r="Q560"/>
    </row>
    <row r="561" spans="15:17" ht="12.75">
      <c r="O561"/>
      <c r="P561"/>
      <c r="Q561"/>
    </row>
    <row r="562" spans="15:17" ht="12.75">
      <c r="O562"/>
      <c r="P562"/>
      <c r="Q562"/>
    </row>
    <row r="563" spans="15:17" ht="12.75">
      <c r="O563"/>
      <c r="P563"/>
      <c r="Q563"/>
    </row>
    <row r="564" spans="15:17" ht="12.75">
      <c r="O564"/>
      <c r="P564"/>
      <c r="Q564"/>
    </row>
    <row r="565" spans="15:17" ht="12.75">
      <c r="O565"/>
      <c r="P565"/>
      <c r="Q565"/>
    </row>
    <row r="566" spans="15:17" ht="12.75">
      <c r="O566"/>
      <c r="P566"/>
      <c r="Q566"/>
    </row>
    <row r="567" spans="15:17" ht="12.75">
      <c r="O567"/>
      <c r="P567"/>
      <c r="Q567"/>
    </row>
    <row r="568" spans="15:17" ht="12.75">
      <c r="O568"/>
      <c r="P568"/>
      <c r="Q568"/>
    </row>
    <row r="569" spans="15:17" ht="12.75">
      <c r="O569"/>
      <c r="P569"/>
      <c r="Q569"/>
    </row>
    <row r="570" spans="15:17" ht="12.75">
      <c r="O570"/>
      <c r="P570"/>
      <c r="Q570"/>
    </row>
    <row r="571" spans="15:17" ht="12.75">
      <c r="O571"/>
      <c r="P571"/>
      <c r="Q571"/>
    </row>
    <row r="572" spans="15:17" ht="12.75">
      <c r="O572"/>
      <c r="P572"/>
      <c r="Q572"/>
    </row>
    <row r="573" spans="15:17" ht="12.75">
      <c r="O573"/>
      <c r="P573"/>
      <c r="Q573"/>
    </row>
    <row r="574" spans="15:17" ht="12.75">
      <c r="O574"/>
      <c r="P574"/>
      <c r="Q574"/>
    </row>
    <row r="575" spans="15:17" ht="12.75">
      <c r="O575"/>
      <c r="P575"/>
      <c r="Q575"/>
    </row>
    <row r="576" spans="15:17" ht="12.75">
      <c r="O576"/>
      <c r="P576"/>
      <c r="Q576"/>
    </row>
    <row r="577" spans="15:17" ht="12.75">
      <c r="O577"/>
      <c r="P577"/>
      <c r="Q577"/>
    </row>
    <row r="578" spans="15:17" ht="12.75">
      <c r="O578"/>
      <c r="P578"/>
      <c r="Q578"/>
    </row>
    <row r="579" spans="15:17" ht="12.75">
      <c r="O579"/>
      <c r="P579"/>
      <c r="Q579"/>
    </row>
    <row r="580" spans="15:17" ht="12.75">
      <c r="O580"/>
      <c r="P580"/>
      <c r="Q580"/>
    </row>
    <row r="581" spans="15:17" ht="12.75">
      <c r="O581"/>
      <c r="P581"/>
      <c r="Q581"/>
    </row>
    <row r="582" spans="15:17" ht="12.75">
      <c r="O582"/>
      <c r="P582"/>
      <c r="Q582"/>
    </row>
    <row r="583" spans="15:17" ht="12.75">
      <c r="O583"/>
      <c r="P583"/>
      <c r="Q583"/>
    </row>
    <row r="584" spans="15:17" ht="12.75">
      <c r="O584"/>
      <c r="P584"/>
      <c r="Q584"/>
    </row>
    <row r="585" spans="15:17" ht="12.75">
      <c r="O585"/>
      <c r="P585"/>
      <c r="Q585"/>
    </row>
    <row r="586" spans="15:17" ht="12.75">
      <c r="O586"/>
      <c r="P586"/>
      <c r="Q586"/>
    </row>
    <row r="587" spans="15:17" ht="12.75">
      <c r="O587"/>
      <c r="P587"/>
      <c r="Q587"/>
    </row>
    <row r="588" spans="15:17" ht="12.75">
      <c r="O588"/>
      <c r="P588"/>
      <c r="Q588"/>
    </row>
    <row r="589" spans="15:17" ht="12.75">
      <c r="O589"/>
      <c r="P589"/>
      <c r="Q589"/>
    </row>
    <row r="590" spans="15:17" ht="12.75">
      <c r="O590"/>
      <c r="P590"/>
      <c r="Q590"/>
    </row>
    <row r="591" spans="15:17" ht="12.75">
      <c r="O591"/>
      <c r="P591"/>
      <c r="Q591"/>
    </row>
    <row r="592" spans="15:17" ht="12.75">
      <c r="O592"/>
      <c r="P592"/>
      <c r="Q592"/>
    </row>
    <row r="593" spans="15:17" ht="12.75">
      <c r="O593"/>
      <c r="P593"/>
      <c r="Q593"/>
    </row>
    <row r="594" spans="15:17" ht="12.75">
      <c r="O594"/>
      <c r="P594"/>
      <c r="Q594"/>
    </row>
    <row r="595" spans="15:17" ht="12.75">
      <c r="O595"/>
      <c r="P595"/>
      <c r="Q595"/>
    </row>
    <row r="596" spans="15:17" ht="12.75">
      <c r="O596"/>
      <c r="P596"/>
      <c r="Q596"/>
    </row>
    <row r="597" spans="15:17" ht="12.75">
      <c r="O597"/>
      <c r="P597"/>
      <c r="Q597"/>
    </row>
    <row r="598" spans="15:17" ht="12.75">
      <c r="O598"/>
      <c r="P598"/>
      <c r="Q598"/>
    </row>
    <row r="599" spans="15:17" ht="12.75">
      <c r="O599"/>
      <c r="P599"/>
      <c r="Q599"/>
    </row>
    <row r="600" spans="15:17" ht="12.75">
      <c r="O600"/>
      <c r="P600"/>
      <c r="Q600"/>
    </row>
    <row r="601" spans="15:17" ht="12.75">
      <c r="O601"/>
      <c r="P601"/>
      <c r="Q601"/>
    </row>
    <row r="602" spans="15:17" ht="12.75">
      <c r="O602"/>
      <c r="P602"/>
      <c r="Q602"/>
    </row>
    <row r="603" spans="15:17" ht="12.75">
      <c r="O603"/>
      <c r="P603"/>
      <c r="Q603"/>
    </row>
    <row r="604" spans="15:17" ht="12.75">
      <c r="O604"/>
      <c r="P604"/>
      <c r="Q604"/>
    </row>
    <row r="605" spans="15:17" ht="12.75">
      <c r="O605"/>
      <c r="P605"/>
      <c r="Q605"/>
    </row>
    <row r="606" spans="15:17" ht="12.75">
      <c r="O606"/>
      <c r="P606"/>
      <c r="Q606"/>
    </row>
    <row r="607" spans="15:17" ht="12.75">
      <c r="O607"/>
      <c r="P607"/>
      <c r="Q607"/>
    </row>
    <row r="608" spans="15:17" ht="12.75">
      <c r="O608"/>
      <c r="P608"/>
      <c r="Q608"/>
    </row>
    <row r="609" spans="15:17" ht="12.75">
      <c r="O609"/>
      <c r="P609"/>
      <c r="Q609"/>
    </row>
    <row r="610" spans="15:17" ht="12.75">
      <c r="O610"/>
      <c r="P610"/>
      <c r="Q610"/>
    </row>
    <row r="611" spans="15:17" ht="12.75">
      <c r="O611"/>
      <c r="P611"/>
      <c r="Q611"/>
    </row>
    <row r="612" spans="15:17" ht="12.75">
      <c r="O612"/>
      <c r="P612"/>
      <c r="Q612"/>
    </row>
    <row r="613" spans="15:17" ht="12.75">
      <c r="O613"/>
      <c r="P613"/>
      <c r="Q613"/>
    </row>
    <row r="614" spans="15:17" ht="12.75">
      <c r="O614"/>
      <c r="P614"/>
      <c r="Q614"/>
    </row>
    <row r="615" spans="15:17" ht="12.75">
      <c r="O615"/>
      <c r="P615"/>
      <c r="Q615"/>
    </row>
    <row r="616" spans="15:17" ht="12.75">
      <c r="O616"/>
      <c r="P616"/>
      <c r="Q616"/>
    </row>
    <row r="617" spans="15:17" ht="12.75">
      <c r="O617"/>
      <c r="P617"/>
      <c r="Q617"/>
    </row>
    <row r="618" spans="15:17" ht="12.75">
      <c r="O618"/>
      <c r="P618"/>
      <c r="Q618"/>
    </row>
    <row r="619" spans="15:17" ht="12.75">
      <c r="O619"/>
      <c r="P619"/>
      <c r="Q619"/>
    </row>
    <row r="620" spans="15:17" ht="12.75">
      <c r="O620"/>
      <c r="P620"/>
      <c r="Q620"/>
    </row>
    <row r="621" spans="15:17" ht="12.75">
      <c r="O621"/>
      <c r="P621"/>
      <c r="Q621"/>
    </row>
    <row r="622" spans="15:17" ht="12.75">
      <c r="O622"/>
      <c r="P622"/>
      <c r="Q622"/>
    </row>
    <row r="623" spans="15:17" ht="12.75">
      <c r="O623"/>
      <c r="P623"/>
      <c r="Q623"/>
    </row>
    <row r="624" spans="15:17" ht="12.75">
      <c r="O624"/>
      <c r="P624"/>
      <c r="Q624"/>
    </row>
    <row r="625" spans="15:17" ht="12.75">
      <c r="O625"/>
      <c r="P625"/>
      <c r="Q625"/>
    </row>
    <row r="626" spans="15:17" ht="12.75">
      <c r="O626"/>
      <c r="P626"/>
      <c r="Q626"/>
    </row>
    <row r="627" spans="15:17" ht="12.75">
      <c r="O627"/>
      <c r="P627"/>
      <c r="Q627"/>
    </row>
    <row r="628" spans="15:17" ht="12.75">
      <c r="O628"/>
      <c r="P628"/>
      <c r="Q628"/>
    </row>
    <row r="629" spans="15:17" ht="12.75">
      <c r="O629"/>
      <c r="P629"/>
      <c r="Q629"/>
    </row>
    <row r="630" spans="15:17" ht="12.75">
      <c r="O630"/>
      <c r="P630"/>
      <c r="Q630"/>
    </row>
    <row r="631" spans="15:17" ht="12.75">
      <c r="O631"/>
      <c r="P631"/>
      <c r="Q631"/>
    </row>
    <row r="632" spans="15:17" ht="12.75">
      <c r="O632"/>
      <c r="P632"/>
      <c r="Q632"/>
    </row>
    <row r="633" spans="15:17" ht="12.75">
      <c r="O633"/>
      <c r="P633"/>
      <c r="Q633"/>
    </row>
    <row r="634" spans="15:17" ht="12.75">
      <c r="O634"/>
      <c r="P634"/>
      <c r="Q634"/>
    </row>
    <row r="635" spans="15:17" ht="12.75">
      <c r="O635"/>
      <c r="P635"/>
      <c r="Q635"/>
    </row>
    <row r="636" spans="15:17" ht="12.75">
      <c r="O636"/>
      <c r="P636"/>
      <c r="Q636"/>
    </row>
    <row r="637" spans="15:17" ht="12.75">
      <c r="O637"/>
      <c r="P637"/>
      <c r="Q637"/>
    </row>
    <row r="638" spans="15:17" ht="12.75">
      <c r="O638"/>
      <c r="P638"/>
      <c r="Q638"/>
    </row>
    <row r="639" spans="15:17" ht="12.75">
      <c r="O639"/>
      <c r="P639"/>
      <c r="Q639"/>
    </row>
    <row r="640" spans="15:17" ht="12.75">
      <c r="O640"/>
      <c r="P640"/>
      <c r="Q640"/>
    </row>
    <row r="641" spans="15:17" ht="12.75">
      <c r="O641"/>
      <c r="P641"/>
      <c r="Q641"/>
    </row>
    <row r="642" spans="15:17" ht="12.75">
      <c r="O642"/>
      <c r="P642"/>
      <c r="Q642"/>
    </row>
    <row r="643" spans="15:17" ht="12.75">
      <c r="O643"/>
      <c r="P643"/>
      <c r="Q643"/>
    </row>
    <row r="644" spans="15:17" ht="12.75">
      <c r="O644"/>
      <c r="P644"/>
      <c r="Q644"/>
    </row>
    <row r="645" spans="15:17" ht="12.75">
      <c r="O645"/>
      <c r="P645"/>
      <c r="Q645"/>
    </row>
    <row r="646" spans="15:17" ht="12.75">
      <c r="O646"/>
      <c r="P646"/>
      <c r="Q646"/>
    </row>
    <row r="647" spans="15:17" ht="12.75">
      <c r="O647"/>
      <c r="P647"/>
      <c r="Q647"/>
    </row>
    <row r="648" spans="15:17" ht="12.75">
      <c r="O648"/>
      <c r="P648"/>
      <c r="Q648"/>
    </row>
    <row r="649" spans="15:17" ht="12.75">
      <c r="O649"/>
      <c r="P649"/>
      <c r="Q649"/>
    </row>
    <row r="650" spans="15:17" ht="12.75">
      <c r="O650"/>
      <c r="P650"/>
      <c r="Q650"/>
    </row>
    <row r="651" spans="15:17" ht="12.75">
      <c r="O651"/>
      <c r="P651"/>
      <c r="Q651"/>
    </row>
    <row r="652" spans="15:17" ht="12.75">
      <c r="O652"/>
      <c r="P652"/>
      <c r="Q652"/>
    </row>
    <row r="653" spans="15:17" ht="12.75">
      <c r="O653"/>
      <c r="P653"/>
      <c r="Q653"/>
    </row>
    <row r="654" spans="15:17" ht="12.75">
      <c r="O654"/>
      <c r="P654"/>
      <c r="Q654"/>
    </row>
    <row r="655" spans="15:17" ht="12.75">
      <c r="O655"/>
      <c r="P655"/>
      <c r="Q655"/>
    </row>
    <row r="656" spans="15:17" ht="12.75">
      <c r="O656"/>
      <c r="P656"/>
      <c r="Q656"/>
    </row>
    <row r="657" spans="15:17" ht="12.75">
      <c r="O657"/>
      <c r="P657"/>
      <c r="Q657"/>
    </row>
    <row r="658" spans="15:17" ht="12.75">
      <c r="O658"/>
      <c r="P658"/>
      <c r="Q658"/>
    </row>
    <row r="659" spans="15:17" ht="12.75">
      <c r="O659"/>
      <c r="P659"/>
      <c r="Q659"/>
    </row>
    <row r="660" spans="15:17" ht="12.75">
      <c r="O660"/>
      <c r="P660"/>
      <c r="Q660"/>
    </row>
    <row r="661" spans="15:17" ht="12.75">
      <c r="O661"/>
      <c r="P661"/>
      <c r="Q661"/>
    </row>
    <row r="662" spans="15:17" ht="12.75">
      <c r="O662"/>
      <c r="P662"/>
      <c r="Q662"/>
    </row>
    <row r="663" spans="15:17" ht="12.75">
      <c r="O663"/>
      <c r="P663"/>
      <c r="Q663"/>
    </row>
    <row r="664" spans="15:17" ht="12.75">
      <c r="O664"/>
      <c r="P664"/>
      <c r="Q664"/>
    </row>
    <row r="665" spans="15:17" ht="12.75">
      <c r="O665"/>
      <c r="P665"/>
      <c r="Q665"/>
    </row>
    <row r="666" spans="15:17" ht="12.75">
      <c r="O666"/>
      <c r="P666"/>
      <c r="Q666"/>
    </row>
    <row r="667" spans="15:17" ht="12.75">
      <c r="O667"/>
      <c r="P667"/>
      <c r="Q667"/>
    </row>
    <row r="668" spans="15:17" ht="12.75">
      <c r="O668"/>
      <c r="P668"/>
      <c r="Q668"/>
    </row>
    <row r="669" spans="15:17" ht="12.75">
      <c r="O669"/>
      <c r="P669"/>
      <c r="Q669"/>
    </row>
    <row r="670" spans="15:17" ht="12.75">
      <c r="O670"/>
      <c r="P670"/>
      <c r="Q670"/>
    </row>
    <row r="671" spans="15:17" ht="12.75">
      <c r="O671"/>
      <c r="P671"/>
      <c r="Q671"/>
    </row>
    <row r="672" spans="15:17" ht="12.75">
      <c r="O672"/>
      <c r="P672"/>
      <c r="Q672"/>
    </row>
    <row r="673" spans="15:17" ht="12.75">
      <c r="O673"/>
      <c r="P673"/>
      <c r="Q673"/>
    </row>
    <row r="674" spans="15:17" ht="12.75">
      <c r="O674"/>
      <c r="P674"/>
      <c r="Q674"/>
    </row>
    <row r="675" spans="15:17" ht="12.75">
      <c r="O675"/>
      <c r="P675"/>
      <c r="Q675"/>
    </row>
    <row r="676" spans="15:17" ht="12.75">
      <c r="O676"/>
      <c r="P676"/>
      <c r="Q676"/>
    </row>
    <row r="677" spans="15:17" ht="12.75">
      <c r="O677"/>
      <c r="P677"/>
      <c r="Q677"/>
    </row>
    <row r="678" spans="15:17" ht="12.75">
      <c r="O678"/>
      <c r="P678"/>
      <c r="Q678"/>
    </row>
    <row r="679" spans="15:17" ht="12.75">
      <c r="O679"/>
      <c r="P679"/>
      <c r="Q679"/>
    </row>
    <row r="680" spans="15:17" ht="12.75">
      <c r="O680"/>
      <c r="P680"/>
      <c r="Q680"/>
    </row>
    <row r="681" spans="15:17" ht="12.75">
      <c r="O681"/>
      <c r="P681"/>
      <c r="Q681"/>
    </row>
    <row r="682" spans="15:17" ht="12.75">
      <c r="O682"/>
      <c r="P682"/>
      <c r="Q682"/>
    </row>
    <row r="683" spans="15:17" ht="12.75">
      <c r="O683"/>
      <c r="P683"/>
      <c r="Q683"/>
    </row>
    <row r="684" spans="15:17" ht="12.75">
      <c r="O684"/>
      <c r="P684"/>
      <c r="Q684"/>
    </row>
    <row r="685" spans="15:17" ht="12.75">
      <c r="O685"/>
      <c r="P685"/>
      <c r="Q685"/>
    </row>
    <row r="686" spans="15:17" ht="12.75">
      <c r="O686"/>
      <c r="P686"/>
      <c r="Q686"/>
    </row>
    <row r="687" spans="15:17" ht="12.75">
      <c r="O687"/>
      <c r="P687"/>
      <c r="Q687"/>
    </row>
    <row r="688" spans="15:17" ht="12.75">
      <c r="O688"/>
      <c r="P688"/>
      <c r="Q688"/>
    </row>
    <row r="689" spans="15:17" ht="12.75">
      <c r="O689"/>
      <c r="P689"/>
      <c r="Q689"/>
    </row>
    <row r="690" spans="15:17" ht="12.75">
      <c r="O690"/>
      <c r="P690"/>
      <c r="Q690"/>
    </row>
    <row r="691" spans="15:17" ht="12.75">
      <c r="O691"/>
      <c r="P691"/>
      <c r="Q691"/>
    </row>
    <row r="692" spans="15:17" ht="12.75">
      <c r="O692"/>
      <c r="P692"/>
      <c r="Q692"/>
    </row>
    <row r="693" spans="15:17" ht="12.75">
      <c r="O693"/>
      <c r="P693"/>
      <c r="Q693"/>
    </row>
    <row r="694" spans="15:17" ht="12.75">
      <c r="O694"/>
      <c r="P694"/>
      <c r="Q694"/>
    </row>
    <row r="695" spans="15:17" ht="12.75">
      <c r="O695"/>
      <c r="P695"/>
      <c r="Q695"/>
    </row>
    <row r="696" spans="15:17" ht="12.75">
      <c r="O696"/>
      <c r="P696"/>
      <c r="Q696"/>
    </row>
    <row r="697" spans="15:17" ht="12.75">
      <c r="O697"/>
      <c r="P697"/>
      <c r="Q697"/>
    </row>
    <row r="698" spans="15:17" ht="12.75">
      <c r="O698"/>
      <c r="P698"/>
      <c r="Q698"/>
    </row>
    <row r="699" spans="15:17" ht="12.75">
      <c r="O699"/>
      <c r="P699"/>
      <c r="Q699"/>
    </row>
    <row r="700" spans="15:17" ht="12.75">
      <c r="O700"/>
      <c r="P700"/>
      <c r="Q700"/>
    </row>
    <row r="701" spans="15:17" ht="12.75">
      <c r="O701"/>
      <c r="P701"/>
      <c r="Q701"/>
    </row>
    <row r="702" spans="15:17" ht="12.75">
      <c r="O702"/>
      <c r="P702"/>
      <c r="Q702"/>
    </row>
    <row r="703" spans="15:17" ht="12.75">
      <c r="O703"/>
      <c r="P703"/>
      <c r="Q703"/>
    </row>
    <row r="704" spans="15:17" ht="12.75">
      <c r="O704"/>
      <c r="P704"/>
      <c r="Q704"/>
    </row>
    <row r="705" spans="15:17" ht="12.75">
      <c r="O705"/>
      <c r="P705"/>
      <c r="Q705"/>
    </row>
    <row r="706" spans="15:17" ht="12.75">
      <c r="O706"/>
      <c r="P706"/>
      <c r="Q706"/>
    </row>
    <row r="707" spans="15:17" ht="12.75">
      <c r="O707"/>
      <c r="P707"/>
      <c r="Q707"/>
    </row>
    <row r="708" spans="15:17" ht="12.75">
      <c r="O708"/>
      <c r="P708"/>
      <c r="Q708"/>
    </row>
    <row r="709" spans="15:17" ht="12.75">
      <c r="O709"/>
      <c r="P709"/>
      <c r="Q709"/>
    </row>
    <row r="710" spans="15:17" ht="12.75">
      <c r="O710"/>
      <c r="P710"/>
      <c r="Q710"/>
    </row>
    <row r="711" spans="15:17" ht="12.75">
      <c r="O711"/>
      <c r="P711"/>
      <c r="Q711"/>
    </row>
    <row r="712" spans="15:17" ht="12.75">
      <c r="O712"/>
      <c r="P712"/>
      <c r="Q712"/>
    </row>
    <row r="713" spans="15:17" ht="12.75">
      <c r="O713"/>
      <c r="P713"/>
      <c r="Q713"/>
    </row>
    <row r="714" spans="15:17" ht="12.75">
      <c r="O714"/>
      <c r="P714"/>
      <c r="Q714"/>
    </row>
    <row r="715" spans="15:17" ht="12.75">
      <c r="O715"/>
      <c r="P715"/>
      <c r="Q715"/>
    </row>
    <row r="716" spans="15:17" ht="12.75">
      <c r="O716"/>
      <c r="P716"/>
      <c r="Q716"/>
    </row>
    <row r="717" spans="15:17" ht="12.75">
      <c r="O717"/>
      <c r="P717"/>
      <c r="Q717"/>
    </row>
    <row r="718" spans="15:17" ht="12.75">
      <c r="O718"/>
      <c r="P718"/>
      <c r="Q718"/>
    </row>
    <row r="719" spans="15:17" ht="12.75">
      <c r="O719"/>
      <c r="P719"/>
      <c r="Q719"/>
    </row>
    <row r="720" spans="15:17" ht="12.75">
      <c r="O720"/>
      <c r="P720"/>
      <c r="Q720"/>
    </row>
    <row r="721" spans="15:17" ht="12.75">
      <c r="O721"/>
      <c r="P721"/>
      <c r="Q721"/>
    </row>
    <row r="722" spans="15:17" ht="12.75">
      <c r="O722"/>
      <c r="P722"/>
      <c r="Q722"/>
    </row>
    <row r="723" spans="15:17" ht="12.75">
      <c r="O723"/>
      <c r="P723"/>
      <c r="Q723"/>
    </row>
    <row r="724" spans="15:17" ht="12.75">
      <c r="O724"/>
      <c r="P724"/>
      <c r="Q724"/>
    </row>
    <row r="725" spans="15:17" ht="12.75">
      <c r="O725"/>
      <c r="P725"/>
      <c r="Q725"/>
    </row>
    <row r="726" spans="15:17" ht="12.75">
      <c r="O726"/>
      <c r="P726"/>
      <c r="Q726"/>
    </row>
    <row r="727" spans="15:17" ht="12.75">
      <c r="O727"/>
      <c r="P727"/>
      <c r="Q727"/>
    </row>
    <row r="728" spans="15:17" ht="12.75">
      <c r="O728"/>
      <c r="P728"/>
      <c r="Q728"/>
    </row>
    <row r="729" spans="15:17" ht="12.75">
      <c r="O729"/>
      <c r="P729"/>
      <c r="Q729"/>
    </row>
    <row r="730" spans="15:17" ht="12.75">
      <c r="O730"/>
      <c r="P730"/>
      <c r="Q730"/>
    </row>
    <row r="731" spans="15:17" ht="12.75">
      <c r="O731"/>
      <c r="P731"/>
      <c r="Q731"/>
    </row>
    <row r="732" spans="15:17" ht="12.75">
      <c r="O732"/>
      <c r="P732"/>
      <c r="Q732"/>
    </row>
    <row r="733" spans="15:17" ht="12.75">
      <c r="O733"/>
      <c r="P733"/>
      <c r="Q733"/>
    </row>
    <row r="734" spans="15:17" ht="12.75">
      <c r="O734"/>
      <c r="P734"/>
      <c r="Q734"/>
    </row>
    <row r="735" spans="15:17" ht="12.75">
      <c r="O735"/>
      <c r="P735"/>
      <c r="Q735"/>
    </row>
    <row r="736" spans="15:17" ht="12.75">
      <c r="O736"/>
      <c r="P736"/>
      <c r="Q736"/>
    </row>
    <row r="737" spans="15:17" ht="12.75">
      <c r="O737"/>
      <c r="P737"/>
      <c r="Q737"/>
    </row>
    <row r="738" spans="15:17" ht="12.75">
      <c r="O738"/>
      <c r="P738"/>
      <c r="Q738"/>
    </row>
    <row r="739" spans="15:17" ht="12.75">
      <c r="O739"/>
      <c r="P739"/>
      <c r="Q739"/>
    </row>
    <row r="740" spans="15:17" ht="12.75">
      <c r="O740"/>
      <c r="P740"/>
      <c r="Q740"/>
    </row>
    <row r="741" spans="15:17" ht="12.75">
      <c r="O741"/>
      <c r="P741"/>
      <c r="Q741"/>
    </row>
    <row r="742" spans="15:17" ht="12.75">
      <c r="O742"/>
      <c r="P742"/>
      <c r="Q742"/>
    </row>
    <row r="743" spans="15:17" ht="12.75">
      <c r="O743"/>
      <c r="P743"/>
      <c r="Q743"/>
    </row>
    <row r="744" spans="15:17" ht="12.75">
      <c r="O744"/>
      <c r="P744"/>
      <c r="Q744"/>
    </row>
    <row r="745" spans="15:17" ht="12.75">
      <c r="O745"/>
      <c r="P745"/>
      <c r="Q745"/>
    </row>
    <row r="746" spans="15:17" ht="12.75">
      <c r="O746"/>
      <c r="P746"/>
      <c r="Q746"/>
    </row>
    <row r="747" spans="15:17" ht="12.75">
      <c r="O747"/>
      <c r="P747"/>
      <c r="Q747"/>
    </row>
    <row r="748" spans="15:17" ht="12.75">
      <c r="O748"/>
      <c r="P748"/>
      <c r="Q748"/>
    </row>
    <row r="749" spans="15:17" ht="12.75">
      <c r="O749"/>
      <c r="P749"/>
      <c r="Q749"/>
    </row>
    <row r="750" spans="15:17" ht="12.75">
      <c r="O750"/>
      <c r="P750"/>
      <c r="Q750"/>
    </row>
    <row r="751" spans="15:17" ht="12.75">
      <c r="O751"/>
      <c r="P751"/>
      <c r="Q751"/>
    </row>
    <row r="752" spans="15:17" ht="12.75">
      <c r="O752"/>
      <c r="P752"/>
      <c r="Q752"/>
    </row>
    <row r="753" spans="15:17" ht="12.75">
      <c r="O753"/>
      <c r="P753"/>
      <c r="Q753"/>
    </row>
    <row r="754" spans="15:17" ht="12.75">
      <c r="O754"/>
      <c r="P754"/>
      <c r="Q754"/>
    </row>
    <row r="755" spans="15:17" ht="12.75">
      <c r="O755"/>
      <c r="P755"/>
      <c r="Q755"/>
    </row>
    <row r="756" spans="15:17" ht="12.75">
      <c r="O756"/>
      <c r="P756"/>
      <c r="Q756"/>
    </row>
    <row r="757" spans="15:17" ht="12.75">
      <c r="O757"/>
      <c r="P757"/>
      <c r="Q757"/>
    </row>
    <row r="758" spans="15:17" ht="12.75">
      <c r="O758"/>
      <c r="P758"/>
      <c r="Q758"/>
    </row>
    <row r="759" spans="15:17" ht="12.75">
      <c r="O759"/>
      <c r="P759"/>
      <c r="Q759"/>
    </row>
    <row r="760" spans="15:17" ht="12.75">
      <c r="O760"/>
      <c r="P760"/>
      <c r="Q760"/>
    </row>
    <row r="761" spans="15:17" ht="12.75">
      <c r="O761"/>
      <c r="P761"/>
      <c r="Q761"/>
    </row>
    <row r="762" spans="15:17" ht="12.75">
      <c r="O762"/>
      <c r="P762"/>
      <c r="Q762"/>
    </row>
    <row r="763" spans="15:17" ht="12.75">
      <c r="O763"/>
      <c r="P763"/>
      <c r="Q763"/>
    </row>
    <row r="764" spans="15:17" ht="12.75">
      <c r="O764"/>
      <c r="P764"/>
      <c r="Q764"/>
    </row>
    <row r="765" spans="15:17" ht="12.75">
      <c r="O765"/>
      <c r="P765"/>
      <c r="Q765"/>
    </row>
    <row r="766" spans="15:17" ht="12.75">
      <c r="O766"/>
      <c r="P766"/>
      <c r="Q766"/>
    </row>
    <row r="767" spans="15:17" ht="12.75">
      <c r="O767"/>
      <c r="P767"/>
      <c r="Q767"/>
    </row>
    <row r="768" spans="15:17" ht="12.75">
      <c r="O768"/>
      <c r="P768"/>
      <c r="Q768"/>
    </row>
    <row r="769" spans="15:17" ht="12.75">
      <c r="O769"/>
      <c r="P769"/>
      <c r="Q769"/>
    </row>
    <row r="770" spans="15:17" ht="12.75">
      <c r="O770"/>
      <c r="P770"/>
      <c r="Q770"/>
    </row>
    <row r="771" spans="15:17" ht="12.75">
      <c r="O771"/>
      <c r="P771"/>
      <c r="Q771"/>
    </row>
    <row r="772" spans="15:17" ht="12.75">
      <c r="O772"/>
      <c r="P772"/>
      <c r="Q772"/>
    </row>
    <row r="773" spans="15:17" ht="12.75">
      <c r="O773"/>
      <c r="P773"/>
      <c r="Q773"/>
    </row>
    <row r="774" spans="15:17" ht="12.75">
      <c r="O774"/>
      <c r="P774"/>
      <c r="Q774"/>
    </row>
    <row r="775" spans="15:17" ht="12.75">
      <c r="O775"/>
      <c r="P775"/>
      <c r="Q775"/>
    </row>
    <row r="776" spans="15:17" ht="12.75">
      <c r="O776"/>
      <c r="P776"/>
      <c r="Q776"/>
    </row>
    <row r="777" spans="15:17" ht="12.75">
      <c r="O777"/>
      <c r="P777"/>
      <c r="Q777"/>
    </row>
    <row r="778" spans="15:17" ht="12.75">
      <c r="O778"/>
      <c r="P778"/>
      <c r="Q778"/>
    </row>
    <row r="779" spans="15:17" ht="12.75">
      <c r="O779"/>
      <c r="P779"/>
      <c r="Q779"/>
    </row>
    <row r="780" spans="15:17" ht="12.75">
      <c r="O780"/>
      <c r="P780"/>
      <c r="Q780"/>
    </row>
    <row r="781" spans="15:17" ht="12.75">
      <c r="O781"/>
      <c r="P781"/>
      <c r="Q781"/>
    </row>
    <row r="782" spans="15:17" ht="12.75">
      <c r="O782"/>
      <c r="P782"/>
      <c r="Q782"/>
    </row>
    <row r="783" spans="15:17" ht="12.75">
      <c r="O783"/>
      <c r="P783"/>
      <c r="Q783"/>
    </row>
    <row r="784" spans="15:17" ht="12.75">
      <c r="O784"/>
      <c r="P784"/>
      <c r="Q784"/>
    </row>
    <row r="785" spans="15:17" ht="12.75">
      <c r="O785"/>
      <c r="P785"/>
      <c r="Q785"/>
    </row>
    <row r="786" spans="15:17" ht="12.75">
      <c r="O786"/>
      <c r="P786"/>
      <c r="Q786"/>
    </row>
    <row r="787" spans="15:17" ht="12.75">
      <c r="O787"/>
      <c r="P787"/>
      <c r="Q787"/>
    </row>
    <row r="788" spans="15:17" ht="12.75">
      <c r="O788"/>
      <c r="P788"/>
      <c r="Q788"/>
    </row>
    <row r="789" spans="15:17" ht="12.75">
      <c r="O789"/>
      <c r="P789"/>
      <c r="Q789"/>
    </row>
    <row r="790" spans="15:17" ht="12.75">
      <c r="O790"/>
      <c r="P790"/>
      <c r="Q790"/>
    </row>
    <row r="791" spans="15:17" ht="12.75">
      <c r="O791"/>
      <c r="P791"/>
      <c r="Q791"/>
    </row>
    <row r="792" spans="15:17" ht="12.75">
      <c r="O792"/>
      <c r="P792"/>
      <c r="Q792"/>
    </row>
    <row r="793" spans="15:17" ht="12.75">
      <c r="O793"/>
      <c r="P793"/>
      <c r="Q793"/>
    </row>
    <row r="794" spans="15:17" ht="12.75">
      <c r="O794"/>
      <c r="P794"/>
      <c r="Q794"/>
    </row>
    <row r="795" spans="15:17" ht="12.75">
      <c r="O795"/>
      <c r="P795"/>
      <c r="Q795"/>
    </row>
    <row r="796" spans="15:17" ht="12.75">
      <c r="O796"/>
      <c r="P796"/>
      <c r="Q796"/>
    </row>
    <row r="797" spans="15:17" ht="12.75">
      <c r="O797"/>
      <c r="P797"/>
      <c r="Q797"/>
    </row>
    <row r="798" spans="15:17" ht="12.75">
      <c r="O798"/>
      <c r="P798"/>
      <c r="Q798"/>
    </row>
    <row r="799" spans="15:17" ht="12.75">
      <c r="O799"/>
      <c r="P799"/>
      <c r="Q799"/>
    </row>
    <row r="800" spans="15:17" ht="12.75">
      <c r="O800"/>
      <c r="P800"/>
      <c r="Q800"/>
    </row>
    <row r="801" spans="15:17" ht="12.75">
      <c r="O801"/>
      <c r="P801"/>
      <c r="Q801"/>
    </row>
    <row r="802" spans="15:17" ht="12.75">
      <c r="O802"/>
      <c r="P802"/>
      <c r="Q802"/>
    </row>
    <row r="803" spans="15:17" ht="12.75">
      <c r="O803"/>
      <c r="P803"/>
      <c r="Q803"/>
    </row>
    <row r="804" spans="15:17" ht="12.75">
      <c r="O804"/>
      <c r="P804"/>
      <c r="Q804"/>
    </row>
    <row r="805" spans="15:17" ht="12.75">
      <c r="O805"/>
      <c r="P805"/>
      <c r="Q805"/>
    </row>
    <row r="806" spans="15:17" ht="12.75">
      <c r="O806"/>
      <c r="P806"/>
      <c r="Q806"/>
    </row>
    <row r="807" spans="15:17" ht="12.75">
      <c r="O807"/>
      <c r="P807"/>
      <c r="Q807"/>
    </row>
    <row r="808" spans="15:17" ht="12.75">
      <c r="O808"/>
      <c r="P808"/>
      <c r="Q808"/>
    </row>
    <row r="809" spans="15:17" ht="12.75">
      <c r="O809"/>
      <c r="P809"/>
      <c r="Q809"/>
    </row>
    <row r="810" spans="15:17" ht="12.75">
      <c r="O810"/>
      <c r="P810"/>
      <c r="Q810"/>
    </row>
    <row r="811" spans="15:17" ht="12.75">
      <c r="O811"/>
      <c r="P811"/>
      <c r="Q811"/>
    </row>
    <row r="812" spans="15:17" ht="12.75">
      <c r="O812"/>
      <c r="P812"/>
      <c r="Q812"/>
    </row>
    <row r="813" spans="15:17" ht="12.75">
      <c r="O813"/>
      <c r="P813"/>
      <c r="Q813"/>
    </row>
    <row r="814" spans="15:17" ht="12.75">
      <c r="O814"/>
      <c r="P814"/>
      <c r="Q814"/>
    </row>
    <row r="815" spans="15:17" ht="12.75">
      <c r="O815"/>
      <c r="P815"/>
      <c r="Q815"/>
    </row>
    <row r="816" spans="15:17" ht="12.75">
      <c r="O816"/>
      <c r="P816"/>
      <c r="Q816"/>
    </row>
    <row r="817" spans="15:17" ht="12.75">
      <c r="O817"/>
      <c r="P817"/>
      <c r="Q817"/>
    </row>
    <row r="818" spans="15:17" ht="12.75">
      <c r="O818"/>
      <c r="P818"/>
      <c r="Q818"/>
    </row>
    <row r="819" spans="15:17" ht="12.75">
      <c r="O819"/>
      <c r="P819"/>
      <c r="Q819"/>
    </row>
    <row r="820" spans="15:17" ht="12.75">
      <c r="O820"/>
      <c r="P820"/>
      <c r="Q820"/>
    </row>
    <row r="821" spans="15:17" ht="12.75">
      <c r="O821"/>
      <c r="P821"/>
      <c r="Q821"/>
    </row>
    <row r="822" spans="15:17" ht="12.75">
      <c r="O822"/>
      <c r="P822"/>
      <c r="Q822"/>
    </row>
    <row r="823" spans="15:17" ht="12.75">
      <c r="O823"/>
      <c r="P823"/>
      <c r="Q823"/>
    </row>
    <row r="824" spans="15:17" ht="12.75">
      <c r="O824"/>
      <c r="P824"/>
      <c r="Q824"/>
    </row>
    <row r="825" spans="15:17" ht="12.75">
      <c r="O825"/>
      <c r="P825"/>
      <c r="Q825"/>
    </row>
    <row r="826" spans="15:17" ht="12.75">
      <c r="O826"/>
      <c r="P826"/>
      <c r="Q826"/>
    </row>
    <row r="827" spans="15:17" ht="12.75">
      <c r="O827"/>
      <c r="P827"/>
      <c r="Q827"/>
    </row>
    <row r="828" spans="15:17" ht="12.75">
      <c r="O828"/>
      <c r="P828"/>
      <c r="Q828"/>
    </row>
    <row r="829" spans="15:17" ht="12.75">
      <c r="O829"/>
      <c r="P829"/>
      <c r="Q829"/>
    </row>
    <row r="830" spans="15:17" ht="12.75">
      <c r="O830"/>
      <c r="P830"/>
      <c r="Q830"/>
    </row>
    <row r="831" spans="15:17" ht="12.75">
      <c r="O831"/>
      <c r="P831"/>
      <c r="Q831"/>
    </row>
    <row r="832" spans="15:17" ht="12.75">
      <c r="O832"/>
      <c r="P832"/>
      <c r="Q832"/>
    </row>
    <row r="833" spans="15:17" ht="12.75">
      <c r="O833"/>
      <c r="P833"/>
      <c r="Q833"/>
    </row>
    <row r="834" spans="15:17" ht="12.75">
      <c r="O834"/>
      <c r="P834"/>
      <c r="Q834"/>
    </row>
    <row r="835" spans="15:17" ht="12.75">
      <c r="O835"/>
      <c r="P835"/>
      <c r="Q835"/>
    </row>
    <row r="836" spans="15:17" ht="12.75">
      <c r="O836"/>
      <c r="P836"/>
      <c r="Q836"/>
    </row>
    <row r="837" spans="15:17" ht="12.75">
      <c r="O837"/>
      <c r="P837"/>
      <c r="Q837"/>
    </row>
    <row r="838" spans="15:17" ht="12.75">
      <c r="O838"/>
      <c r="P838"/>
      <c r="Q838"/>
    </row>
    <row r="839" spans="15:17" ht="12.75">
      <c r="O839"/>
      <c r="P839"/>
      <c r="Q839"/>
    </row>
    <row r="840" spans="15:17" ht="12.75">
      <c r="O840"/>
      <c r="P840"/>
      <c r="Q840"/>
    </row>
    <row r="841" spans="15:17" ht="12.75">
      <c r="O841"/>
      <c r="P841"/>
      <c r="Q841"/>
    </row>
    <row r="842" spans="15:17" ht="12.75">
      <c r="O842"/>
      <c r="P842"/>
      <c r="Q842"/>
    </row>
    <row r="843" spans="15:17" ht="12.75">
      <c r="O843"/>
      <c r="P843"/>
      <c r="Q843"/>
    </row>
    <row r="844" spans="15:17" ht="12.75">
      <c r="O844"/>
      <c r="P844"/>
      <c r="Q844"/>
    </row>
    <row r="845" spans="15:17" ht="12.75">
      <c r="O845"/>
      <c r="P845"/>
      <c r="Q845"/>
    </row>
    <row r="846" spans="15:17" ht="12.75">
      <c r="O846"/>
      <c r="P846"/>
      <c r="Q846"/>
    </row>
    <row r="847" spans="15:17" ht="12.75">
      <c r="O847"/>
      <c r="P847"/>
      <c r="Q847"/>
    </row>
    <row r="848" spans="15:17" ht="12.75">
      <c r="O848"/>
      <c r="P848"/>
      <c r="Q848"/>
    </row>
    <row r="849" spans="15:17" ht="12.75">
      <c r="O849"/>
      <c r="P849"/>
      <c r="Q849"/>
    </row>
    <row r="850" spans="15:17" ht="12.75">
      <c r="O850"/>
      <c r="P850"/>
      <c r="Q850"/>
    </row>
    <row r="851" spans="15:17" ht="12.75">
      <c r="O851"/>
      <c r="P851"/>
      <c r="Q851"/>
    </row>
    <row r="852" spans="15:17" ht="12.75">
      <c r="O852"/>
      <c r="P852"/>
      <c r="Q852"/>
    </row>
    <row r="853" spans="15:17" ht="12.75">
      <c r="O853"/>
      <c r="P853"/>
      <c r="Q853"/>
    </row>
    <row r="854" spans="15:17" ht="12.75">
      <c r="O854"/>
      <c r="P854"/>
      <c r="Q854"/>
    </row>
    <row r="855" spans="15:17" ht="12.75">
      <c r="O855"/>
      <c r="P855"/>
      <c r="Q855"/>
    </row>
    <row r="856" spans="15:17" ht="12.75">
      <c r="O856"/>
      <c r="P856"/>
      <c r="Q856"/>
    </row>
    <row r="857" spans="15:17" ht="12.75">
      <c r="O857"/>
      <c r="P857"/>
      <c r="Q857"/>
    </row>
    <row r="858" spans="15:17" ht="12.75">
      <c r="O858"/>
      <c r="P858"/>
      <c r="Q858"/>
    </row>
    <row r="859" spans="15:17" ht="12.75">
      <c r="O859"/>
      <c r="P859"/>
      <c r="Q859"/>
    </row>
    <row r="860" spans="15:17" ht="12.75">
      <c r="O860"/>
      <c r="P860"/>
      <c r="Q860"/>
    </row>
    <row r="861" spans="15:17" ht="12.75">
      <c r="O861"/>
      <c r="P861"/>
      <c r="Q861"/>
    </row>
    <row r="862" spans="15:17" ht="12.75">
      <c r="O862"/>
      <c r="P862"/>
      <c r="Q862"/>
    </row>
    <row r="863" spans="15:17" ht="12.75">
      <c r="O863"/>
      <c r="P863"/>
      <c r="Q863"/>
    </row>
    <row r="864" spans="15:17" ht="12.75">
      <c r="O864"/>
      <c r="P864"/>
      <c r="Q864"/>
    </row>
    <row r="865" spans="15:17" ht="12.75">
      <c r="O865"/>
      <c r="P865"/>
      <c r="Q865"/>
    </row>
    <row r="866" spans="15:17" ht="12.75">
      <c r="O866"/>
      <c r="P866"/>
      <c r="Q866"/>
    </row>
    <row r="867" spans="15:17" ht="12.75">
      <c r="O867"/>
      <c r="P867"/>
      <c r="Q867"/>
    </row>
    <row r="868" spans="15:17" ht="12.75">
      <c r="O868"/>
      <c r="P868"/>
      <c r="Q868"/>
    </row>
    <row r="869" spans="15:17" ht="12.75">
      <c r="O869"/>
      <c r="P869"/>
      <c r="Q869"/>
    </row>
    <row r="870" spans="15:17" ht="12.75">
      <c r="O870"/>
      <c r="P870"/>
      <c r="Q870"/>
    </row>
    <row r="871" spans="15:17" ht="12.75">
      <c r="O871"/>
      <c r="P871"/>
      <c r="Q871"/>
    </row>
    <row r="872" spans="15:17" ht="12.75">
      <c r="O872"/>
      <c r="P872"/>
      <c r="Q872"/>
    </row>
    <row r="873" spans="15:17" ht="12.75">
      <c r="O873"/>
      <c r="P873"/>
      <c r="Q873"/>
    </row>
    <row r="874" spans="15:17" ht="12.75">
      <c r="O874"/>
      <c r="P874"/>
      <c r="Q874"/>
    </row>
    <row r="875" spans="15:17" ht="12.75">
      <c r="O875"/>
      <c r="P875"/>
      <c r="Q875"/>
    </row>
    <row r="876" spans="15:17" ht="12.75">
      <c r="O876"/>
      <c r="P876"/>
      <c r="Q876"/>
    </row>
    <row r="877" spans="15:17" ht="12.75">
      <c r="O877"/>
      <c r="P877"/>
      <c r="Q877"/>
    </row>
    <row r="878" spans="15:17" ht="12.75">
      <c r="O878"/>
      <c r="P878"/>
      <c r="Q878"/>
    </row>
    <row r="879" spans="15:17" ht="12.75">
      <c r="O879"/>
      <c r="P879"/>
      <c r="Q879"/>
    </row>
    <row r="880" spans="15:17" ht="12.75">
      <c r="O880"/>
      <c r="P880"/>
      <c r="Q880"/>
    </row>
    <row r="881" spans="15:17" ht="12.75">
      <c r="O881"/>
      <c r="P881"/>
      <c r="Q881"/>
    </row>
    <row r="882" spans="15:17" ht="12.75">
      <c r="O882"/>
      <c r="P882"/>
      <c r="Q882"/>
    </row>
    <row r="883" spans="15:17" ht="12.75">
      <c r="O883"/>
      <c r="P883"/>
      <c r="Q883"/>
    </row>
    <row r="884" spans="15:17" ht="12.75">
      <c r="O884"/>
      <c r="P884"/>
      <c r="Q884"/>
    </row>
    <row r="885" spans="15:17" ht="12.75">
      <c r="O885"/>
      <c r="P885"/>
      <c r="Q885"/>
    </row>
    <row r="886" spans="15:17" ht="12.75">
      <c r="O886"/>
      <c r="P886"/>
      <c r="Q886"/>
    </row>
    <row r="887" spans="15:17" ht="12.75">
      <c r="O887"/>
      <c r="P887"/>
      <c r="Q887"/>
    </row>
    <row r="888" spans="15:17" ht="12.75">
      <c r="O888"/>
      <c r="P888"/>
      <c r="Q888"/>
    </row>
    <row r="889" spans="15:17" ht="12.75">
      <c r="O889"/>
      <c r="P889"/>
      <c r="Q889"/>
    </row>
    <row r="890" spans="15:17" ht="12.75">
      <c r="O890"/>
      <c r="P890"/>
      <c r="Q890"/>
    </row>
    <row r="891" spans="15:17" ht="12.75">
      <c r="O891"/>
      <c r="P891"/>
      <c r="Q891"/>
    </row>
    <row r="892" spans="15:17" ht="12.75">
      <c r="O892"/>
      <c r="P892"/>
      <c r="Q892"/>
    </row>
    <row r="893" spans="15:17" ht="12.75">
      <c r="O893"/>
      <c r="P893"/>
      <c r="Q893"/>
    </row>
    <row r="894" spans="15:17" ht="12.75">
      <c r="O894"/>
      <c r="P894"/>
      <c r="Q894"/>
    </row>
    <row r="895" spans="15:17" ht="12.75">
      <c r="O895"/>
      <c r="P895"/>
      <c r="Q895"/>
    </row>
    <row r="896" spans="15:17" ht="12.75">
      <c r="O896"/>
      <c r="P896"/>
      <c r="Q896"/>
    </row>
    <row r="897" spans="15:17" ht="12.75">
      <c r="O897"/>
      <c r="P897"/>
      <c r="Q897"/>
    </row>
    <row r="898" spans="15:17" ht="12.75">
      <c r="O898"/>
      <c r="P898"/>
      <c r="Q898"/>
    </row>
    <row r="899" spans="15:17" ht="12.75">
      <c r="O899"/>
      <c r="P899"/>
      <c r="Q899"/>
    </row>
    <row r="900" spans="15:17" ht="12.75">
      <c r="O900"/>
      <c r="P900"/>
      <c r="Q900"/>
    </row>
    <row r="901" spans="15:17" ht="12.75">
      <c r="O901"/>
      <c r="P901"/>
      <c r="Q901"/>
    </row>
    <row r="902" spans="15:17" ht="12.75">
      <c r="O902"/>
      <c r="P902"/>
      <c r="Q902"/>
    </row>
    <row r="903" spans="15:17" ht="12.75">
      <c r="O903"/>
      <c r="P903"/>
      <c r="Q903"/>
    </row>
    <row r="904" spans="15:17" ht="12.75">
      <c r="O904"/>
      <c r="P904"/>
      <c r="Q904"/>
    </row>
    <row r="905" spans="15:17" ht="12.75">
      <c r="O905"/>
      <c r="P905"/>
      <c r="Q905"/>
    </row>
    <row r="906" spans="15:17" ht="12.75">
      <c r="O906"/>
      <c r="P906"/>
      <c r="Q906"/>
    </row>
    <row r="907" spans="15:17" ht="12.75">
      <c r="O907"/>
      <c r="P907"/>
      <c r="Q907"/>
    </row>
    <row r="908" spans="15:17" ht="12.75">
      <c r="O908"/>
      <c r="P908"/>
      <c r="Q908"/>
    </row>
    <row r="909" spans="15:17" ht="12.75">
      <c r="O909"/>
      <c r="P909"/>
      <c r="Q909"/>
    </row>
    <row r="910" spans="15:17" ht="12.75">
      <c r="O910"/>
      <c r="P910"/>
      <c r="Q910"/>
    </row>
    <row r="911" spans="15:17" ht="12.75">
      <c r="O911"/>
      <c r="P911"/>
      <c r="Q911"/>
    </row>
    <row r="912" spans="15:17" ht="12.75">
      <c r="O912"/>
      <c r="P912"/>
      <c r="Q912"/>
    </row>
    <row r="913" spans="15:17" ht="12.75">
      <c r="O913"/>
      <c r="P913"/>
      <c r="Q913"/>
    </row>
    <row r="914" spans="15:17" ht="12.75">
      <c r="O914"/>
      <c r="P914"/>
      <c r="Q914"/>
    </row>
    <row r="915" spans="15:17" ht="12.75">
      <c r="O915"/>
      <c r="P915"/>
      <c r="Q915"/>
    </row>
    <row r="916" spans="15:17" ht="12.75">
      <c r="O916"/>
      <c r="P916"/>
      <c r="Q916"/>
    </row>
    <row r="917" spans="15:17" ht="12.75">
      <c r="O917"/>
      <c r="P917"/>
      <c r="Q917"/>
    </row>
    <row r="918" spans="15:17" ht="12.75">
      <c r="O918"/>
      <c r="P918"/>
      <c r="Q918"/>
    </row>
    <row r="919" spans="15:17" ht="12.75">
      <c r="O919"/>
      <c r="P919"/>
      <c r="Q919"/>
    </row>
    <row r="920" spans="15:17" ht="12.75">
      <c r="O920"/>
      <c r="P920"/>
      <c r="Q920"/>
    </row>
    <row r="921" spans="15:17" ht="12.75">
      <c r="O921"/>
      <c r="P921"/>
      <c r="Q921"/>
    </row>
    <row r="922" spans="15:17" ht="12.75">
      <c r="O922"/>
      <c r="P922"/>
      <c r="Q922"/>
    </row>
    <row r="923" spans="15:17" ht="12.75">
      <c r="O923"/>
      <c r="P923"/>
      <c r="Q923"/>
    </row>
    <row r="924" spans="15:17" ht="12.75">
      <c r="O924"/>
      <c r="P924"/>
      <c r="Q924"/>
    </row>
    <row r="925" spans="15:17" ht="12.75">
      <c r="O925"/>
      <c r="P925"/>
      <c r="Q925"/>
    </row>
    <row r="926" spans="15:17" ht="12.75">
      <c r="O926"/>
      <c r="P926"/>
      <c r="Q926"/>
    </row>
    <row r="927" spans="15:17" ht="12.75">
      <c r="O927"/>
      <c r="P927"/>
      <c r="Q927"/>
    </row>
    <row r="928" spans="15:17" ht="12.75">
      <c r="O928"/>
      <c r="P928"/>
      <c r="Q928"/>
    </row>
    <row r="929" spans="15:17" ht="12.75">
      <c r="O929"/>
      <c r="P929"/>
      <c r="Q929"/>
    </row>
    <row r="930" spans="15:17" ht="12.75">
      <c r="O930"/>
      <c r="P930"/>
      <c r="Q930"/>
    </row>
    <row r="931" spans="15:17" ht="12.75">
      <c r="O931"/>
      <c r="P931"/>
      <c r="Q931"/>
    </row>
    <row r="932" spans="15:17" ht="12.75">
      <c r="O932"/>
      <c r="P932"/>
      <c r="Q932"/>
    </row>
    <row r="933" spans="15:17" ht="12.75">
      <c r="O933"/>
      <c r="P933"/>
      <c r="Q933"/>
    </row>
    <row r="934" spans="15:17" ht="12.75">
      <c r="O934"/>
      <c r="P934"/>
      <c r="Q934"/>
    </row>
    <row r="935" spans="15:17" ht="12.75">
      <c r="O935"/>
      <c r="P935"/>
      <c r="Q935"/>
    </row>
    <row r="936" spans="15:17" ht="12.75">
      <c r="O936"/>
      <c r="P936"/>
      <c r="Q936"/>
    </row>
    <row r="937" spans="15:17" ht="12.75">
      <c r="O937"/>
      <c r="P937"/>
      <c r="Q937"/>
    </row>
    <row r="938" spans="15:17" ht="12.75">
      <c r="O938"/>
      <c r="P938"/>
      <c r="Q938"/>
    </row>
    <row r="939" spans="15:17" ht="12.75">
      <c r="O939"/>
      <c r="P939"/>
      <c r="Q939"/>
    </row>
    <row r="940" spans="15:17" ht="12.75">
      <c r="O940"/>
      <c r="P940"/>
      <c r="Q940"/>
    </row>
    <row r="941" spans="15:17" ht="12.75">
      <c r="O941"/>
      <c r="P941"/>
      <c r="Q941"/>
    </row>
    <row r="942" spans="15:17" ht="12.75">
      <c r="O942"/>
      <c r="P942"/>
      <c r="Q942"/>
    </row>
    <row r="943" spans="15:17" ht="12.75">
      <c r="O943"/>
      <c r="P943"/>
      <c r="Q943"/>
    </row>
    <row r="944" spans="15:17" ht="12.75">
      <c r="O944"/>
      <c r="P944"/>
      <c r="Q944"/>
    </row>
    <row r="945" spans="15:17" ht="12.75">
      <c r="O945"/>
      <c r="P945"/>
      <c r="Q945"/>
    </row>
    <row r="946" spans="15:17" ht="12.75">
      <c r="O946"/>
      <c r="P946"/>
      <c r="Q946"/>
    </row>
    <row r="947" spans="15:17" ht="12.75">
      <c r="O947"/>
      <c r="P947"/>
      <c r="Q947"/>
    </row>
    <row r="948" spans="15:17" ht="12.75">
      <c r="O948"/>
      <c r="P948"/>
      <c r="Q948"/>
    </row>
    <row r="949" spans="15:17" ht="12.75">
      <c r="O949"/>
      <c r="P949"/>
      <c r="Q949"/>
    </row>
    <row r="950" spans="15:17" ht="12.75">
      <c r="O950"/>
      <c r="P950"/>
      <c r="Q950"/>
    </row>
    <row r="951" spans="15:17" ht="12.75">
      <c r="O951"/>
      <c r="P951"/>
      <c r="Q951"/>
    </row>
    <row r="952" spans="15:17" ht="12.75">
      <c r="O952"/>
      <c r="P952"/>
      <c r="Q952"/>
    </row>
    <row r="953" spans="15:17" ht="12.75">
      <c r="O953"/>
      <c r="P953"/>
      <c r="Q953"/>
    </row>
    <row r="954" spans="15:17" ht="12.75">
      <c r="O954"/>
      <c r="P954"/>
      <c r="Q954"/>
    </row>
    <row r="955" spans="15:17" ht="12.75">
      <c r="O955"/>
      <c r="P955"/>
      <c r="Q955"/>
    </row>
    <row r="956" spans="15:17" ht="12.75">
      <c r="O956"/>
      <c r="P956"/>
      <c r="Q956"/>
    </row>
    <row r="957" spans="15:17" ht="12.75">
      <c r="O957"/>
      <c r="P957"/>
      <c r="Q957"/>
    </row>
    <row r="958" spans="15:17" ht="12.75">
      <c r="O958"/>
      <c r="P958"/>
      <c r="Q958"/>
    </row>
    <row r="959" spans="15:17" ht="12.75">
      <c r="O959"/>
      <c r="P959"/>
      <c r="Q959"/>
    </row>
    <row r="960" spans="15:17" ht="12.75">
      <c r="O960"/>
      <c r="P960"/>
      <c r="Q960"/>
    </row>
    <row r="961" spans="15:17" ht="12.75">
      <c r="O961"/>
      <c r="P961"/>
      <c r="Q961"/>
    </row>
    <row r="962" spans="15:17" ht="12.75">
      <c r="O962"/>
      <c r="P962"/>
      <c r="Q962"/>
    </row>
    <row r="963" spans="15:17" ht="12.75">
      <c r="O963"/>
      <c r="P963"/>
      <c r="Q963"/>
    </row>
    <row r="964" spans="15:17" ht="12.75">
      <c r="O964"/>
      <c r="P964"/>
      <c r="Q964"/>
    </row>
    <row r="965" spans="15:17" ht="12.75">
      <c r="O965"/>
      <c r="P965"/>
      <c r="Q965"/>
    </row>
    <row r="966" spans="15:17" ht="12.75">
      <c r="O966"/>
      <c r="P966"/>
      <c r="Q966"/>
    </row>
    <row r="967" spans="15:17" ht="12.75">
      <c r="O967"/>
      <c r="P967"/>
      <c r="Q967"/>
    </row>
    <row r="968" spans="15:17" ht="12.75">
      <c r="O968"/>
      <c r="P968"/>
      <c r="Q968"/>
    </row>
    <row r="969" spans="15:17" ht="12.75">
      <c r="O969"/>
      <c r="P969"/>
      <c r="Q969"/>
    </row>
    <row r="970" spans="15:17" ht="12.75">
      <c r="O970"/>
      <c r="P970"/>
      <c r="Q970"/>
    </row>
    <row r="971" spans="15:17" ht="12.75">
      <c r="O971"/>
      <c r="P971"/>
      <c r="Q971"/>
    </row>
    <row r="972" spans="15:17" ht="12.75">
      <c r="O972"/>
      <c r="P972"/>
      <c r="Q972"/>
    </row>
    <row r="973" spans="15:17" ht="12.75">
      <c r="O973"/>
      <c r="P973"/>
      <c r="Q973"/>
    </row>
    <row r="974" spans="15:17" ht="12.75">
      <c r="O974"/>
      <c r="P974"/>
      <c r="Q974"/>
    </row>
    <row r="975" spans="15:17" ht="12.75">
      <c r="O975"/>
      <c r="P975"/>
      <c r="Q975"/>
    </row>
    <row r="976" spans="15:17" ht="12.75">
      <c r="O976"/>
      <c r="P976"/>
      <c r="Q976"/>
    </row>
    <row r="977" spans="15:17" ht="12.75">
      <c r="O977"/>
      <c r="P977"/>
      <c r="Q977"/>
    </row>
    <row r="978" spans="15:17" ht="12.75">
      <c r="O978"/>
      <c r="P978"/>
      <c r="Q978"/>
    </row>
    <row r="979" spans="15:17" ht="12.75">
      <c r="O979"/>
      <c r="P979"/>
      <c r="Q979"/>
    </row>
    <row r="980" spans="15:17" ht="12.75">
      <c r="O980"/>
      <c r="P980"/>
      <c r="Q980"/>
    </row>
    <row r="981" spans="15:17" ht="12.75">
      <c r="O981"/>
      <c r="P981"/>
      <c r="Q981"/>
    </row>
    <row r="982" spans="15:17" ht="12.75">
      <c r="O982"/>
      <c r="P982"/>
      <c r="Q982"/>
    </row>
    <row r="983" spans="15:17" ht="12.75">
      <c r="O983"/>
      <c r="P983"/>
      <c r="Q983"/>
    </row>
    <row r="984" spans="15:17" ht="12.75">
      <c r="O984"/>
      <c r="P984"/>
      <c r="Q984"/>
    </row>
    <row r="985" spans="15:17" ht="12.75">
      <c r="O985"/>
      <c r="P985"/>
      <c r="Q985"/>
    </row>
    <row r="986" spans="15:17" ht="12.75">
      <c r="O986"/>
      <c r="P986"/>
      <c r="Q986"/>
    </row>
    <row r="987" spans="15:17" ht="12.75">
      <c r="O987"/>
      <c r="P987"/>
      <c r="Q987"/>
    </row>
    <row r="988" spans="15:17" ht="12.75">
      <c r="O988"/>
      <c r="P988"/>
      <c r="Q988"/>
    </row>
    <row r="989" spans="15:17" ht="12.75">
      <c r="O989"/>
      <c r="P989"/>
      <c r="Q989"/>
    </row>
    <row r="990" spans="15:17" ht="12.75">
      <c r="O990"/>
      <c r="P990"/>
      <c r="Q990"/>
    </row>
    <row r="991" spans="15:17" ht="12.75">
      <c r="O991"/>
      <c r="P991"/>
      <c r="Q991"/>
    </row>
    <row r="992" spans="15:17" ht="12.75">
      <c r="O992"/>
      <c r="P992"/>
      <c r="Q992"/>
    </row>
    <row r="993" spans="15:17" ht="12.75">
      <c r="O993"/>
      <c r="P993"/>
      <c r="Q993"/>
    </row>
    <row r="994" spans="15:17" ht="12.75">
      <c r="O994"/>
      <c r="P994"/>
      <c r="Q994"/>
    </row>
    <row r="995" spans="15:17" ht="12.75">
      <c r="O995"/>
      <c r="P995"/>
      <c r="Q995"/>
    </row>
    <row r="996" spans="15:17" ht="12.75">
      <c r="O996"/>
      <c r="P996"/>
      <c r="Q996"/>
    </row>
    <row r="997" spans="15:17" ht="12.75">
      <c r="O997"/>
      <c r="P997"/>
      <c r="Q997"/>
    </row>
    <row r="998" spans="15:17" ht="12.75">
      <c r="O998"/>
      <c r="P998"/>
      <c r="Q998"/>
    </row>
    <row r="999" spans="15:17" ht="12.75">
      <c r="O999"/>
      <c r="P999"/>
      <c r="Q999"/>
    </row>
    <row r="1000" spans="15:17" ht="12.75">
      <c r="O1000"/>
      <c r="P1000"/>
      <c r="Q1000"/>
    </row>
    <row r="1001" spans="15:17" ht="12.75">
      <c r="O1001"/>
      <c r="P1001"/>
      <c r="Q1001"/>
    </row>
    <row r="1002" spans="15:17" ht="12.75">
      <c r="O1002"/>
      <c r="P1002"/>
      <c r="Q1002"/>
    </row>
    <row r="1003" spans="15:17" ht="12.75">
      <c r="O1003"/>
      <c r="P1003"/>
      <c r="Q1003"/>
    </row>
    <row r="1004" spans="15:17" ht="12.75">
      <c r="O1004"/>
      <c r="P1004"/>
      <c r="Q1004"/>
    </row>
    <row r="1005" spans="15:17" ht="12.75">
      <c r="O1005"/>
      <c r="P1005"/>
      <c r="Q1005"/>
    </row>
    <row r="1006" spans="15:17" ht="12.75">
      <c r="O1006"/>
      <c r="P1006"/>
      <c r="Q1006"/>
    </row>
    <row r="1007" spans="15:17" ht="12.75">
      <c r="O1007"/>
      <c r="P1007"/>
      <c r="Q1007"/>
    </row>
    <row r="1008" spans="15:17" ht="12.75">
      <c r="O1008"/>
      <c r="P1008"/>
      <c r="Q1008"/>
    </row>
    <row r="1009" spans="15:17" ht="12.75">
      <c r="O1009"/>
      <c r="P1009"/>
      <c r="Q1009"/>
    </row>
    <row r="1010" spans="15:17" ht="12.75">
      <c r="O1010"/>
      <c r="P1010"/>
      <c r="Q1010"/>
    </row>
    <row r="1011" spans="15:17" ht="12.75">
      <c r="O1011"/>
      <c r="P1011"/>
      <c r="Q1011"/>
    </row>
    <row r="1012" spans="15:17" ht="12.75">
      <c r="O1012"/>
      <c r="P1012"/>
      <c r="Q1012"/>
    </row>
    <row r="1013" spans="15:17" ht="12.75">
      <c r="O1013"/>
      <c r="P1013"/>
      <c r="Q1013"/>
    </row>
    <row r="1014" spans="15:17" ht="12.75">
      <c r="O1014"/>
      <c r="P1014"/>
      <c r="Q1014"/>
    </row>
    <row r="1015" spans="15:17" ht="12.75">
      <c r="O1015"/>
      <c r="P1015"/>
      <c r="Q1015"/>
    </row>
    <row r="1016" spans="15:17" ht="12.75">
      <c r="O1016"/>
      <c r="P1016"/>
      <c r="Q1016"/>
    </row>
    <row r="1017" spans="15:17" ht="12.75">
      <c r="O1017"/>
      <c r="P1017"/>
      <c r="Q1017"/>
    </row>
    <row r="1018" spans="15:17" ht="12.75">
      <c r="O1018"/>
      <c r="P1018"/>
      <c r="Q1018"/>
    </row>
    <row r="1019" spans="15:17" ht="12.75">
      <c r="O1019"/>
      <c r="P1019"/>
      <c r="Q1019"/>
    </row>
    <row r="1020" spans="15:17" ht="12.75">
      <c r="O1020"/>
      <c r="P1020"/>
      <c r="Q1020"/>
    </row>
    <row r="1021" spans="15:17" ht="12.75">
      <c r="O1021"/>
      <c r="P1021"/>
      <c r="Q1021"/>
    </row>
    <row r="1022" spans="15:17" ht="12.75">
      <c r="O1022"/>
      <c r="P1022"/>
      <c r="Q1022"/>
    </row>
    <row r="1023" spans="15:17" ht="12.75">
      <c r="O1023"/>
      <c r="P1023"/>
      <c r="Q1023"/>
    </row>
    <row r="1024" spans="15:17" ht="12.75">
      <c r="O1024"/>
      <c r="P1024"/>
      <c r="Q1024"/>
    </row>
    <row r="1025" spans="15:17" ht="12.75">
      <c r="O1025"/>
      <c r="P1025"/>
      <c r="Q1025"/>
    </row>
    <row r="1026" spans="15:17" ht="12.75">
      <c r="O1026"/>
      <c r="P1026"/>
      <c r="Q1026"/>
    </row>
    <row r="1027" spans="15:17" ht="12.75">
      <c r="O1027"/>
      <c r="P1027"/>
      <c r="Q1027"/>
    </row>
    <row r="1028" spans="15:17" ht="12.75">
      <c r="O1028"/>
      <c r="P1028"/>
      <c r="Q1028"/>
    </row>
    <row r="1029" spans="15:17" ht="12.75">
      <c r="O1029"/>
      <c r="P1029"/>
      <c r="Q1029"/>
    </row>
    <row r="1030" spans="15:17" ht="12.75">
      <c r="O1030"/>
      <c r="P1030"/>
      <c r="Q1030"/>
    </row>
    <row r="1031" spans="15:17" ht="12.75">
      <c r="O1031"/>
      <c r="P1031"/>
      <c r="Q1031"/>
    </row>
    <row r="1032" spans="15:17" ht="12.75">
      <c r="O1032"/>
      <c r="P1032"/>
      <c r="Q1032"/>
    </row>
    <row r="1033" spans="15:17" ht="12.75">
      <c r="O1033"/>
      <c r="P1033"/>
      <c r="Q1033"/>
    </row>
    <row r="1034" spans="15:17" ht="12.75">
      <c r="O1034"/>
      <c r="P1034"/>
      <c r="Q1034"/>
    </row>
    <row r="1035" spans="15:17" ht="12.75">
      <c r="O1035"/>
      <c r="P1035"/>
      <c r="Q1035"/>
    </row>
    <row r="1036" spans="15:17" ht="12.75">
      <c r="O1036"/>
      <c r="P1036"/>
      <c r="Q1036"/>
    </row>
    <row r="1037" spans="15:17" ht="12.75">
      <c r="O1037"/>
      <c r="P1037"/>
      <c r="Q1037"/>
    </row>
    <row r="1038" spans="15:17" ht="12.75">
      <c r="O1038"/>
      <c r="P1038"/>
      <c r="Q1038"/>
    </row>
    <row r="1039" spans="15:17" ht="12.75">
      <c r="O1039"/>
      <c r="P1039"/>
      <c r="Q1039"/>
    </row>
    <row r="1040" spans="15:17" ht="12.75">
      <c r="O1040"/>
      <c r="P1040"/>
      <c r="Q1040"/>
    </row>
    <row r="1041" spans="15:17" ht="12.75">
      <c r="O1041"/>
      <c r="P1041"/>
      <c r="Q1041"/>
    </row>
    <row r="1042" spans="15:17" ht="12.75">
      <c r="O1042"/>
      <c r="P1042"/>
      <c r="Q1042"/>
    </row>
    <row r="1043" spans="15:17" ht="12.75">
      <c r="O1043"/>
      <c r="P1043"/>
      <c r="Q1043"/>
    </row>
    <row r="1044" spans="15:17" ht="12.75">
      <c r="O1044"/>
      <c r="P1044"/>
      <c r="Q1044"/>
    </row>
    <row r="1045" spans="15:17" ht="12.75">
      <c r="O1045"/>
      <c r="P1045"/>
      <c r="Q1045"/>
    </row>
    <row r="1046" spans="15:17" ht="12.75">
      <c r="O1046"/>
      <c r="P1046"/>
      <c r="Q1046"/>
    </row>
    <row r="1047" spans="15:17" ht="12.75">
      <c r="O1047"/>
      <c r="P1047"/>
      <c r="Q1047"/>
    </row>
    <row r="1048" spans="15:17" ht="12.75">
      <c r="O1048"/>
      <c r="P1048"/>
      <c r="Q1048"/>
    </row>
    <row r="1049" spans="15:17" ht="12.75">
      <c r="O1049"/>
      <c r="P1049"/>
      <c r="Q1049"/>
    </row>
    <row r="1050" spans="15:17" ht="12.75">
      <c r="O1050"/>
      <c r="P1050"/>
      <c r="Q1050"/>
    </row>
    <row r="1051" spans="15:17" ht="12.75">
      <c r="O1051"/>
      <c r="P1051"/>
      <c r="Q1051"/>
    </row>
    <row r="1052" spans="15:17" ht="12.75">
      <c r="O1052"/>
      <c r="P1052"/>
      <c r="Q1052"/>
    </row>
    <row r="1053" spans="15:17" ht="12.75">
      <c r="O1053"/>
      <c r="P1053"/>
      <c r="Q1053"/>
    </row>
    <row r="1054" spans="15:17" ht="12.75">
      <c r="O1054"/>
      <c r="P1054"/>
      <c r="Q1054"/>
    </row>
    <row r="1055" spans="15:17" ht="12.75">
      <c r="O1055"/>
      <c r="P1055"/>
      <c r="Q1055"/>
    </row>
    <row r="1056" spans="15:17" ht="12.75">
      <c r="O1056"/>
      <c r="P1056"/>
      <c r="Q1056"/>
    </row>
    <row r="1057" spans="15:17" ht="12.75">
      <c r="O1057"/>
      <c r="P1057"/>
      <c r="Q1057"/>
    </row>
    <row r="1058" spans="15:17" ht="12.75">
      <c r="O1058"/>
      <c r="P1058"/>
      <c r="Q1058"/>
    </row>
    <row r="1059" spans="15:17" ht="12.75">
      <c r="O1059"/>
      <c r="P1059"/>
      <c r="Q1059"/>
    </row>
    <row r="1060" spans="15:17" ht="12.75">
      <c r="O1060"/>
      <c r="P1060"/>
      <c r="Q1060"/>
    </row>
    <row r="1061" spans="15:17" ht="12.75">
      <c r="O1061"/>
      <c r="P1061"/>
      <c r="Q1061"/>
    </row>
    <row r="1062" spans="15:17" ht="12.75">
      <c r="O1062"/>
      <c r="P1062"/>
      <c r="Q1062"/>
    </row>
    <row r="1063" spans="15:17" ht="12.75">
      <c r="O1063"/>
      <c r="P1063"/>
      <c r="Q1063"/>
    </row>
    <row r="1064" spans="15:17" ht="12.75">
      <c r="O1064"/>
      <c r="P1064"/>
      <c r="Q1064"/>
    </row>
    <row r="1065" spans="15:17" ht="12.75">
      <c r="O1065"/>
      <c r="P1065"/>
      <c r="Q1065"/>
    </row>
    <row r="1066" spans="15:17" ht="12.75">
      <c r="O1066"/>
      <c r="P1066"/>
      <c r="Q1066"/>
    </row>
    <row r="1067" spans="15:17" ht="12.75">
      <c r="O1067"/>
      <c r="P1067"/>
      <c r="Q1067"/>
    </row>
    <row r="1068" spans="15:17" ht="12.75">
      <c r="O1068"/>
      <c r="P1068"/>
      <c r="Q1068"/>
    </row>
    <row r="1069" spans="15:17" ht="12.75">
      <c r="O1069"/>
      <c r="P1069"/>
      <c r="Q1069"/>
    </row>
    <row r="1070" spans="15:17" ht="12.75">
      <c r="O1070"/>
      <c r="P1070"/>
      <c r="Q1070"/>
    </row>
    <row r="1071" spans="15:17" ht="12.75">
      <c r="O1071"/>
      <c r="P1071"/>
      <c r="Q1071"/>
    </row>
    <row r="1072" spans="15:17" ht="12.75">
      <c r="O1072"/>
      <c r="P1072"/>
      <c r="Q1072"/>
    </row>
    <row r="1073" spans="15:17" ht="12.75">
      <c r="O1073"/>
      <c r="P1073"/>
      <c r="Q1073"/>
    </row>
    <row r="1074" spans="15:17" ht="12.75">
      <c r="O1074"/>
      <c r="P1074"/>
      <c r="Q1074"/>
    </row>
    <row r="1075" spans="15:17" ht="12.75">
      <c r="O1075"/>
      <c r="P1075"/>
      <c r="Q1075"/>
    </row>
    <row r="1076" spans="15:17" ht="12.75">
      <c r="O1076"/>
      <c r="P1076"/>
      <c r="Q1076"/>
    </row>
    <row r="1077" spans="15:17" ht="12.75">
      <c r="O1077"/>
      <c r="P1077"/>
      <c r="Q1077"/>
    </row>
    <row r="1078" spans="15:17" ht="12.75">
      <c r="O1078"/>
      <c r="P1078"/>
      <c r="Q1078"/>
    </row>
    <row r="1079" spans="15:17" ht="12.75">
      <c r="O1079"/>
      <c r="P1079"/>
      <c r="Q1079"/>
    </row>
    <row r="1080" spans="15:17" ht="12.75">
      <c r="O1080"/>
      <c r="P1080"/>
      <c r="Q1080"/>
    </row>
    <row r="1081" spans="15:17" ht="12.75">
      <c r="O1081"/>
      <c r="P1081"/>
      <c r="Q1081"/>
    </row>
    <row r="1082" spans="15:17" ht="12.75">
      <c r="O1082"/>
      <c r="P1082"/>
      <c r="Q1082"/>
    </row>
    <row r="1083" spans="15:17" ht="12.75">
      <c r="O1083"/>
      <c r="P1083"/>
      <c r="Q1083"/>
    </row>
    <row r="1084" spans="15:17" ht="12.75">
      <c r="O1084"/>
      <c r="P1084"/>
      <c r="Q1084"/>
    </row>
    <row r="1085" spans="15:17" ht="12.75">
      <c r="O1085"/>
      <c r="P1085"/>
      <c r="Q1085"/>
    </row>
    <row r="1086" spans="15:17" ht="12.75">
      <c r="O1086"/>
      <c r="P1086"/>
      <c r="Q1086"/>
    </row>
    <row r="1087" spans="15:17" ht="12.75">
      <c r="O1087"/>
      <c r="P1087"/>
      <c r="Q1087"/>
    </row>
    <row r="1088" spans="15:17" ht="12.75">
      <c r="O1088"/>
      <c r="P1088"/>
      <c r="Q1088"/>
    </row>
    <row r="1089" spans="15:17" ht="12.75">
      <c r="O1089"/>
      <c r="P1089"/>
      <c r="Q1089"/>
    </row>
    <row r="1090" spans="15:17" ht="12.75">
      <c r="O1090"/>
      <c r="P1090"/>
      <c r="Q1090"/>
    </row>
    <row r="1091" spans="15:17" ht="12.75">
      <c r="O1091"/>
      <c r="P1091"/>
      <c r="Q1091"/>
    </row>
    <row r="1092" spans="15:17" ht="12.75">
      <c r="O1092"/>
      <c r="P1092"/>
      <c r="Q1092"/>
    </row>
    <row r="1093" spans="15:17" ht="12.75">
      <c r="O1093"/>
      <c r="P1093"/>
      <c r="Q1093"/>
    </row>
    <row r="1094" spans="15:17" ht="12.75">
      <c r="O1094"/>
      <c r="P1094"/>
      <c r="Q1094"/>
    </row>
    <row r="1095" spans="15:17" ht="12.75">
      <c r="O1095"/>
      <c r="P1095"/>
      <c r="Q1095"/>
    </row>
    <row r="1096" spans="15:17" ht="12.75">
      <c r="O1096"/>
      <c r="P1096"/>
      <c r="Q1096"/>
    </row>
    <row r="1097" spans="15:17" ht="12.75">
      <c r="O1097"/>
      <c r="P1097"/>
      <c r="Q1097"/>
    </row>
    <row r="1098" spans="15:17" ht="12.75">
      <c r="O1098"/>
      <c r="P1098"/>
      <c r="Q1098"/>
    </row>
    <row r="1099" spans="15:17" ht="12.75">
      <c r="O1099"/>
      <c r="P1099"/>
      <c r="Q1099"/>
    </row>
    <row r="1100" spans="15:17" ht="12.75">
      <c r="O1100"/>
      <c r="P1100"/>
      <c r="Q1100"/>
    </row>
    <row r="1101" spans="15:17" ht="12.75">
      <c r="O1101"/>
      <c r="P1101"/>
      <c r="Q1101"/>
    </row>
    <row r="1102" spans="15:17" ht="12.75">
      <c r="O1102"/>
      <c r="P1102"/>
      <c r="Q1102"/>
    </row>
    <row r="1103" spans="15:17" ht="12.75">
      <c r="O1103"/>
      <c r="P1103"/>
      <c r="Q1103"/>
    </row>
    <row r="1104" spans="15:17" ht="12.75">
      <c r="O1104"/>
      <c r="P1104"/>
      <c r="Q1104"/>
    </row>
    <row r="1105" spans="15:17" ht="12.75">
      <c r="O1105"/>
      <c r="P1105"/>
      <c r="Q1105"/>
    </row>
    <row r="1106" spans="15:17" ht="12.75">
      <c r="O1106"/>
      <c r="P1106"/>
      <c r="Q1106"/>
    </row>
    <row r="1107" spans="15:17" ht="12.75">
      <c r="O1107"/>
      <c r="P1107"/>
      <c r="Q1107"/>
    </row>
    <row r="1108" spans="15:17" ht="12.75">
      <c r="O1108"/>
      <c r="P1108"/>
      <c r="Q1108"/>
    </row>
    <row r="1109" spans="15:17" ht="12.75">
      <c r="O1109"/>
      <c r="P1109"/>
      <c r="Q1109"/>
    </row>
    <row r="1110" spans="15:17" ht="12.75">
      <c r="O1110"/>
      <c r="P1110"/>
      <c r="Q1110"/>
    </row>
    <row r="1111" spans="15:17" ht="12.75">
      <c r="O1111"/>
      <c r="P1111"/>
      <c r="Q1111"/>
    </row>
    <row r="1112" spans="15:17" ht="12.75">
      <c r="O1112"/>
      <c r="P1112"/>
      <c r="Q1112"/>
    </row>
    <row r="1113" spans="15:17" ht="12.75">
      <c r="O1113"/>
      <c r="P1113"/>
      <c r="Q1113"/>
    </row>
    <row r="1114" spans="15:17" ht="12.75">
      <c r="O1114"/>
      <c r="P1114"/>
      <c r="Q1114"/>
    </row>
    <row r="1115" spans="15:17" ht="12.75">
      <c r="O1115"/>
      <c r="P1115"/>
      <c r="Q1115"/>
    </row>
    <row r="1116" spans="15:17" ht="12.75">
      <c r="O1116"/>
      <c r="P1116"/>
      <c r="Q1116"/>
    </row>
    <row r="1117" spans="15:17" ht="12.75">
      <c r="O1117"/>
      <c r="P1117"/>
      <c r="Q1117"/>
    </row>
    <row r="1118" spans="15:17" ht="12.75">
      <c r="O1118"/>
      <c r="P1118"/>
      <c r="Q1118"/>
    </row>
    <row r="1119" spans="15:17" ht="12.75">
      <c r="O1119"/>
      <c r="P1119"/>
      <c r="Q1119"/>
    </row>
    <row r="1120" spans="15:17" ht="12.75">
      <c r="O1120"/>
      <c r="P1120"/>
      <c r="Q1120"/>
    </row>
    <row r="1121" spans="15:17" ht="12.75">
      <c r="O1121"/>
      <c r="P1121"/>
      <c r="Q1121"/>
    </row>
    <row r="1122" spans="15:17" ht="12.75">
      <c r="O1122"/>
      <c r="P1122"/>
      <c r="Q1122"/>
    </row>
    <row r="1123" spans="15:17" ht="12.75">
      <c r="O1123"/>
      <c r="P1123"/>
      <c r="Q1123"/>
    </row>
    <row r="1124" spans="15:17" ht="12.75">
      <c r="O1124"/>
      <c r="P1124"/>
      <c r="Q1124"/>
    </row>
    <row r="1125" spans="15:17" ht="12.75">
      <c r="O1125"/>
      <c r="P1125"/>
      <c r="Q1125"/>
    </row>
    <row r="1126" spans="15:17" ht="12.75">
      <c r="O1126"/>
      <c r="P1126"/>
      <c r="Q1126"/>
    </row>
    <row r="1127" spans="15:17" ht="12.75">
      <c r="O1127"/>
      <c r="P1127"/>
      <c r="Q1127"/>
    </row>
    <row r="1128" spans="15:17" ht="12.75">
      <c r="O1128"/>
      <c r="P1128"/>
      <c r="Q1128"/>
    </row>
    <row r="1129" spans="15:17" ht="12.75">
      <c r="O1129"/>
      <c r="P1129"/>
      <c r="Q1129"/>
    </row>
    <row r="1130" spans="15:17" ht="12.75">
      <c r="O1130"/>
      <c r="P1130"/>
      <c r="Q1130"/>
    </row>
    <row r="1131" spans="15:17" ht="12.75">
      <c r="O1131"/>
      <c r="P1131"/>
      <c r="Q1131"/>
    </row>
    <row r="1132" spans="15:17" ht="12.75">
      <c r="O1132"/>
      <c r="P1132"/>
      <c r="Q1132"/>
    </row>
    <row r="1133" spans="15:17" ht="12.75">
      <c r="O1133"/>
      <c r="P1133"/>
      <c r="Q1133"/>
    </row>
    <row r="1134" spans="15:17" ht="12.75">
      <c r="O1134"/>
      <c r="P1134"/>
      <c r="Q1134"/>
    </row>
    <row r="1135" spans="15:17" ht="12.75">
      <c r="O1135"/>
      <c r="P1135"/>
      <c r="Q1135"/>
    </row>
    <row r="1136" spans="15:17" ht="12.75">
      <c r="O1136"/>
      <c r="P1136"/>
      <c r="Q1136"/>
    </row>
    <row r="1137" spans="15:17" ht="12.75">
      <c r="O1137"/>
      <c r="P1137"/>
      <c r="Q1137"/>
    </row>
    <row r="1138" spans="15:17" ht="12.75">
      <c r="O1138"/>
      <c r="P1138"/>
      <c r="Q1138"/>
    </row>
    <row r="1139" spans="15:17" ht="12.75">
      <c r="O1139"/>
      <c r="P1139"/>
      <c r="Q1139"/>
    </row>
    <row r="1140" spans="15:17" ht="12.75">
      <c r="O1140"/>
      <c r="P1140"/>
      <c r="Q1140"/>
    </row>
    <row r="1141" spans="15:17" ht="12.75">
      <c r="O1141"/>
      <c r="P1141"/>
      <c r="Q1141"/>
    </row>
    <row r="1142" spans="15:17" ht="12.75">
      <c r="O1142"/>
      <c r="P1142"/>
      <c r="Q1142"/>
    </row>
    <row r="1143" spans="15:17" ht="12.75">
      <c r="O1143"/>
      <c r="P1143"/>
      <c r="Q1143"/>
    </row>
    <row r="1144" spans="15:17" ht="12.75">
      <c r="O1144"/>
      <c r="P1144"/>
      <c r="Q1144"/>
    </row>
    <row r="1145" spans="15:17" ht="12.75">
      <c r="O1145"/>
      <c r="P1145"/>
      <c r="Q1145"/>
    </row>
    <row r="1146" spans="15:17" ht="12.75">
      <c r="O1146"/>
      <c r="P1146"/>
      <c r="Q1146"/>
    </row>
    <row r="1147" spans="15:17" ht="12.75">
      <c r="O1147"/>
      <c r="P1147"/>
      <c r="Q1147"/>
    </row>
    <row r="1148" spans="15:17" ht="12.75">
      <c r="O1148"/>
      <c r="P1148"/>
      <c r="Q1148"/>
    </row>
    <row r="1149" spans="15:17" ht="12.75">
      <c r="O1149"/>
      <c r="P1149"/>
      <c r="Q1149"/>
    </row>
    <row r="1150" spans="15:17" ht="12.75">
      <c r="O1150"/>
      <c r="P1150"/>
      <c r="Q1150"/>
    </row>
    <row r="1151" spans="15:17" ht="12.75">
      <c r="O1151"/>
      <c r="P1151"/>
      <c r="Q1151"/>
    </row>
    <row r="1152" spans="15:17" ht="12.75">
      <c r="O1152"/>
      <c r="P1152"/>
      <c r="Q1152"/>
    </row>
    <row r="1153" spans="15:17" ht="12.75">
      <c r="O1153"/>
      <c r="P1153"/>
      <c r="Q1153"/>
    </row>
    <row r="1154" spans="15:17" ht="12.75">
      <c r="O1154"/>
      <c r="P1154"/>
      <c r="Q1154"/>
    </row>
    <row r="1155" spans="15:17" ht="12.75">
      <c r="O1155"/>
      <c r="P1155"/>
      <c r="Q1155"/>
    </row>
    <row r="1156" spans="15:17" ht="12.75">
      <c r="O1156"/>
      <c r="P1156"/>
      <c r="Q1156"/>
    </row>
    <row r="1157" spans="15:17" ht="12.75">
      <c r="O1157"/>
      <c r="P1157"/>
      <c r="Q1157"/>
    </row>
    <row r="1158" spans="15:17" ht="12.75">
      <c r="O1158"/>
      <c r="P1158"/>
      <c r="Q1158"/>
    </row>
    <row r="1159" spans="15:17" ht="12.75">
      <c r="O1159"/>
      <c r="P1159"/>
      <c r="Q1159"/>
    </row>
    <row r="1160" spans="15:17" ht="12.75">
      <c r="O1160"/>
      <c r="P1160"/>
      <c r="Q1160"/>
    </row>
    <row r="1161" spans="15:17" ht="12.75">
      <c r="O1161"/>
      <c r="P1161"/>
      <c r="Q1161"/>
    </row>
    <row r="1162" spans="15:17" ht="12.75">
      <c r="O1162"/>
      <c r="P1162"/>
      <c r="Q1162"/>
    </row>
    <row r="1163" spans="15:17" ht="12.75">
      <c r="O1163"/>
      <c r="P1163"/>
      <c r="Q1163"/>
    </row>
    <row r="1164" spans="15:17" ht="12.75">
      <c r="O1164"/>
      <c r="P1164"/>
      <c r="Q1164"/>
    </row>
    <row r="1165" spans="15:17" ht="12.75">
      <c r="O1165"/>
      <c r="P1165"/>
      <c r="Q1165"/>
    </row>
    <row r="1166" spans="15:17" ht="12.75">
      <c r="O1166"/>
      <c r="P1166"/>
      <c r="Q1166"/>
    </row>
    <row r="1167" spans="15:17" ht="12.75">
      <c r="O1167"/>
      <c r="P1167"/>
      <c r="Q1167"/>
    </row>
    <row r="1168" spans="15:17" ht="12.75">
      <c r="O1168"/>
      <c r="P1168"/>
      <c r="Q1168"/>
    </row>
    <row r="1169" spans="15:17" ht="12.75">
      <c r="O1169"/>
      <c r="P1169"/>
      <c r="Q1169"/>
    </row>
    <row r="1170" spans="15:17" ht="12.75">
      <c r="O1170"/>
      <c r="P1170"/>
      <c r="Q1170"/>
    </row>
    <row r="1171" spans="15:17" ht="12.75">
      <c r="O1171"/>
      <c r="P1171"/>
      <c r="Q1171"/>
    </row>
    <row r="1172" spans="15:17" ht="12.75">
      <c r="O1172"/>
      <c r="P1172"/>
      <c r="Q1172"/>
    </row>
    <row r="1173" spans="15:17" ht="12.75">
      <c r="O1173"/>
      <c r="P1173"/>
      <c r="Q1173"/>
    </row>
    <row r="1174" spans="15:17" ht="12.75">
      <c r="O1174"/>
      <c r="P1174"/>
      <c r="Q1174"/>
    </row>
    <row r="1175" spans="15:17" ht="12.75">
      <c r="O1175"/>
      <c r="P1175"/>
      <c r="Q1175"/>
    </row>
    <row r="1176" spans="15:17" ht="12.75">
      <c r="O1176"/>
      <c r="P1176"/>
      <c r="Q1176"/>
    </row>
    <row r="1177" spans="15:17" ht="12.75">
      <c r="O1177"/>
      <c r="P1177"/>
      <c r="Q1177"/>
    </row>
    <row r="1178" spans="15:17" ht="12.75">
      <c r="O1178"/>
      <c r="P1178"/>
      <c r="Q1178"/>
    </row>
    <row r="1179" spans="15:17" ht="12.75">
      <c r="O1179"/>
      <c r="P1179"/>
      <c r="Q1179"/>
    </row>
    <row r="1180" spans="15:17" ht="12.75">
      <c r="O1180"/>
      <c r="P1180"/>
      <c r="Q1180"/>
    </row>
    <row r="1181" spans="15:17" ht="12.75">
      <c r="O1181"/>
      <c r="P1181"/>
      <c r="Q1181"/>
    </row>
    <row r="1182" spans="15:17" ht="12.75">
      <c r="O1182"/>
      <c r="P1182"/>
      <c r="Q1182"/>
    </row>
    <row r="1183" spans="15:17" ht="12.75">
      <c r="O1183"/>
      <c r="P1183"/>
      <c r="Q1183"/>
    </row>
    <row r="1184" spans="15:17" ht="12.75">
      <c r="O1184"/>
      <c r="P1184"/>
      <c r="Q1184"/>
    </row>
    <row r="1185" spans="15:17" ht="12.75">
      <c r="O1185"/>
      <c r="P1185"/>
      <c r="Q1185"/>
    </row>
    <row r="1186" spans="15:17" ht="12.75">
      <c r="O1186"/>
      <c r="P1186"/>
      <c r="Q1186"/>
    </row>
    <row r="1187" spans="15:17" ht="12.75">
      <c r="O1187"/>
      <c r="P1187"/>
      <c r="Q1187"/>
    </row>
    <row r="1188" spans="15:17" ht="12.75">
      <c r="O1188"/>
      <c r="P1188"/>
      <c r="Q1188"/>
    </row>
    <row r="1189" spans="15:17" ht="12.75">
      <c r="O1189"/>
      <c r="P1189"/>
      <c r="Q1189"/>
    </row>
    <row r="1190" spans="15:17" ht="12.75">
      <c r="O1190"/>
      <c r="P1190"/>
      <c r="Q1190"/>
    </row>
    <row r="1191" spans="15:17" ht="12.75">
      <c r="O1191"/>
      <c r="P1191"/>
      <c r="Q1191"/>
    </row>
    <row r="1192" spans="15:17" ht="12.75">
      <c r="O1192"/>
      <c r="P1192"/>
      <c r="Q1192"/>
    </row>
    <row r="1193" spans="15:17" ht="12.75">
      <c r="O1193"/>
      <c r="P1193"/>
      <c r="Q1193"/>
    </row>
    <row r="1194" spans="15:17" ht="12.75">
      <c r="O1194"/>
      <c r="P1194"/>
      <c r="Q1194"/>
    </row>
    <row r="1195" spans="15:17" ht="12.75">
      <c r="O1195"/>
      <c r="P1195"/>
      <c r="Q1195"/>
    </row>
    <row r="1196" spans="15:17" ht="12.75">
      <c r="O1196"/>
      <c r="P1196"/>
      <c r="Q1196"/>
    </row>
    <row r="1197" spans="15:17" ht="12.75">
      <c r="O1197"/>
      <c r="P1197"/>
      <c r="Q1197"/>
    </row>
    <row r="1198" spans="15:17" ht="12.75">
      <c r="O1198"/>
      <c r="P1198"/>
      <c r="Q1198"/>
    </row>
    <row r="1199" spans="15:17" ht="12.75">
      <c r="O1199"/>
      <c r="P1199"/>
      <c r="Q1199"/>
    </row>
    <row r="1200" spans="15:17" ht="12.75">
      <c r="O1200"/>
      <c r="P1200"/>
      <c r="Q1200"/>
    </row>
    <row r="1201" spans="15:17" ht="12.75">
      <c r="O1201"/>
      <c r="P1201"/>
      <c r="Q1201"/>
    </row>
    <row r="1202" spans="15:17" ht="12.75">
      <c r="O1202"/>
      <c r="P1202"/>
      <c r="Q1202"/>
    </row>
    <row r="1203" spans="15:17" ht="12.75">
      <c r="O1203"/>
      <c r="P1203"/>
      <c r="Q1203"/>
    </row>
    <row r="1204" spans="15:17" ht="12.75">
      <c r="O1204"/>
      <c r="P1204"/>
      <c r="Q1204"/>
    </row>
    <row r="1205" spans="15:17" ht="12.75">
      <c r="O1205"/>
      <c r="P1205"/>
      <c r="Q1205"/>
    </row>
    <row r="1206" spans="15:17" ht="12.75">
      <c r="O1206"/>
      <c r="P1206"/>
      <c r="Q1206"/>
    </row>
    <row r="1207" spans="15:17" ht="12.75">
      <c r="O1207"/>
      <c r="P1207"/>
      <c r="Q1207"/>
    </row>
    <row r="1208" spans="15:17" ht="12.75">
      <c r="O1208"/>
      <c r="P1208"/>
      <c r="Q1208"/>
    </row>
    <row r="1209" spans="15:17" ht="12.75">
      <c r="O1209"/>
      <c r="P1209"/>
      <c r="Q1209"/>
    </row>
    <row r="1210" spans="15:17" ht="12.75">
      <c r="O1210"/>
      <c r="P1210"/>
      <c r="Q1210"/>
    </row>
    <row r="1211" spans="15:17" ht="12.75">
      <c r="O1211"/>
      <c r="P1211"/>
      <c r="Q1211"/>
    </row>
    <row r="1212" spans="15:17" ht="12.75">
      <c r="O1212"/>
      <c r="P1212"/>
      <c r="Q1212"/>
    </row>
    <row r="1213" spans="15:17" ht="12.75">
      <c r="O1213"/>
      <c r="P1213"/>
      <c r="Q1213"/>
    </row>
    <row r="1214" spans="15:17" ht="12.75">
      <c r="O1214"/>
      <c r="P1214"/>
      <c r="Q1214"/>
    </row>
    <row r="1215" spans="15:17" ht="12.75">
      <c r="O1215"/>
      <c r="P1215"/>
      <c r="Q1215"/>
    </row>
    <row r="1216" spans="15:17" ht="12.75">
      <c r="O1216"/>
      <c r="P1216"/>
      <c r="Q1216"/>
    </row>
    <row r="1217" spans="15:17" ht="12.75">
      <c r="O1217"/>
      <c r="P1217"/>
      <c r="Q1217"/>
    </row>
    <row r="1218" spans="15:17" ht="12.75">
      <c r="O1218"/>
      <c r="P1218"/>
      <c r="Q1218"/>
    </row>
    <row r="1219" spans="15:17" ht="12.75">
      <c r="O1219"/>
      <c r="P1219"/>
      <c r="Q1219"/>
    </row>
    <row r="1220" spans="15:17" ht="12.75">
      <c r="O1220"/>
      <c r="P1220"/>
      <c r="Q1220"/>
    </row>
    <row r="1221" spans="15:17" ht="12.75">
      <c r="O1221"/>
      <c r="P1221"/>
      <c r="Q1221"/>
    </row>
    <row r="1222" spans="15:17" ht="12.75">
      <c r="O1222"/>
      <c r="P1222"/>
      <c r="Q1222"/>
    </row>
    <row r="1223" spans="15:17" ht="12.75">
      <c r="O1223"/>
      <c r="P1223"/>
      <c r="Q1223"/>
    </row>
    <row r="1224" spans="15:17" ht="12.75">
      <c r="O1224"/>
      <c r="P1224"/>
      <c r="Q1224"/>
    </row>
    <row r="1225" spans="15:17" ht="12.75">
      <c r="O1225"/>
      <c r="P1225"/>
      <c r="Q1225"/>
    </row>
    <row r="1226" spans="15:17" ht="12.75">
      <c r="O1226"/>
      <c r="P1226"/>
      <c r="Q1226"/>
    </row>
    <row r="1227" spans="15:17" ht="12.75">
      <c r="O1227"/>
      <c r="P1227"/>
      <c r="Q1227"/>
    </row>
    <row r="1228" spans="15:17" ht="12.75">
      <c r="O1228"/>
      <c r="P1228"/>
      <c r="Q1228"/>
    </row>
    <row r="1229" spans="15:17" ht="12.75">
      <c r="O1229"/>
      <c r="P1229"/>
      <c r="Q1229"/>
    </row>
    <row r="1230" spans="15:17" ht="12.75">
      <c r="O1230"/>
      <c r="P1230"/>
      <c r="Q1230"/>
    </row>
    <row r="1231" spans="15:17" ht="12.75">
      <c r="O1231"/>
      <c r="P1231"/>
      <c r="Q1231"/>
    </row>
    <row r="1232" spans="15:17" ht="12.75">
      <c r="O1232"/>
      <c r="P1232"/>
      <c r="Q1232"/>
    </row>
    <row r="1233" spans="15:17" ht="12.75">
      <c r="O1233"/>
      <c r="P1233"/>
      <c r="Q1233"/>
    </row>
    <row r="1234" spans="15:17" ht="12.75">
      <c r="O1234"/>
      <c r="P1234"/>
      <c r="Q1234"/>
    </row>
    <row r="1235" spans="15:17" ht="12.75">
      <c r="O1235"/>
      <c r="P1235"/>
      <c r="Q1235"/>
    </row>
    <row r="1236" spans="15:17" ht="12.75">
      <c r="O1236"/>
      <c r="P1236"/>
      <c r="Q1236"/>
    </row>
    <row r="1237" spans="15:17" ht="12.75">
      <c r="O1237"/>
      <c r="P1237"/>
      <c r="Q1237"/>
    </row>
    <row r="1238" spans="15:17" ht="12.75">
      <c r="O1238"/>
      <c r="P1238"/>
      <c r="Q1238"/>
    </row>
    <row r="1239" spans="15:17" ht="12.75">
      <c r="O1239"/>
      <c r="P1239"/>
      <c r="Q1239"/>
    </row>
    <row r="1240" spans="15:17" ht="12.75">
      <c r="O1240"/>
      <c r="P1240"/>
      <c r="Q1240"/>
    </row>
    <row r="1241" spans="15:17" ht="12.75">
      <c r="O1241"/>
      <c r="P1241"/>
      <c r="Q1241"/>
    </row>
    <row r="1242" spans="15:17" ht="12.75">
      <c r="O1242"/>
      <c r="P1242"/>
      <c r="Q1242"/>
    </row>
    <row r="1243" spans="15:17" ht="12.75">
      <c r="O1243"/>
      <c r="P1243"/>
      <c r="Q1243"/>
    </row>
    <row r="1244" spans="15:17" ht="12.75">
      <c r="O1244"/>
      <c r="P1244"/>
      <c r="Q1244"/>
    </row>
    <row r="1245" spans="15:17" ht="12.75">
      <c r="O1245"/>
      <c r="P1245"/>
      <c r="Q1245"/>
    </row>
    <row r="1246" spans="15:17" ht="12.75">
      <c r="O1246"/>
      <c r="P1246"/>
      <c r="Q1246"/>
    </row>
    <row r="1247" spans="15:17" ht="12.75">
      <c r="O1247"/>
      <c r="P1247"/>
      <c r="Q1247"/>
    </row>
    <row r="1248" spans="15:17" ht="12.75">
      <c r="O1248"/>
      <c r="P1248"/>
      <c r="Q1248"/>
    </row>
    <row r="1249" spans="15:17" ht="12.75">
      <c r="O1249"/>
      <c r="P1249"/>
      <c r="Q1249"/>
    </row>
    <row r="1250" spans="15:17" ht="12.75">
      <c r="O1250"/>
      <c r="P1250"/>
      <c r="Q1250"/>
    </row>
    <row r="1251" spans="15:17" ht="12.75">
      <c r="O1251"/>
      <c r="P1251"/>
      <c r="Q1251"/>
    </row>
    <row r="1252" spans="15:17" ht="12.75">
      <c r="O1252"/>
      <c r="P1252"/>
      <c r="Q1252"/>
    </row>
    <row r="1253" spans="15:17" ht="12.75">
      <c r="O1253"/>
      <c r="P1253"/>
      <c r="Q1253"/>
    </row>
    <row r="1254" spans="15:17" ht="12.75">
      <c r="O1254"/>
      <c r="P1254"/>
      <c r="Q1254"/>
    </row>
    <row r="1255" spans="15:17" ht="12.75">
      <c r="O1255"/>
      <c r="P1255"/>
      <c r="Q1255"/>
    </row>
    <row r="1256" spans="15:17" ht="12.75">
      <c r="O1256"/>
      <c r="P1256"/>
      <c r="Q1256"/>
    </row>
    <row r="1257" spans="15:17" ht="12.75">
      <c r="O1257"/>
      <c r="P1257"/>
      <c r="Q1257"/>
    </row>
    <row r="1258" spans="15:17" ht="12.75">
      <c r="O1258"/>
      <c r="P1258"/>
      <c r="Q1258"/>
    </row>
    <row r="1259" spans="15:17" ht="12.75">
      <c r="O1259"/>
      <c r="P1259"/>
      <c r="Q1259"/>
    </row>
    <row r="1260" spans="15:17" ht="12.75">
      <c r="O1260"/>
      <c r="P1260"/>
      <c r="Q1260"/>
    </row>
    <row r="1261" spans="15:17" ht="12.75">
      <c r="O1261"/>
      <c r="P1261"/>
      <c r="Q1261"/>
    </row>
    <row r="1262" spans="15:17" ht="12.75">
      <c r="O1262"/>
      <c r="P1262"/>
      <c r="Q1262"/>
    </row>
    <row r="1263" spans="15:17" ht="12.75">
      <c r="O1263"/>
      <c r="P1263"/>
      <c r="Q1263"/>
    </row>
    <row r="1264" spans="15:17" ht="12.75">
      <c r="O1264"/>
      <c r="P1264"/>
      <c r="Q1264"/>
    </row>
    <row r="1265" spans="15:17" ht="12.75">
      <c r="O1265"/>
      <c r="P1265"/>
      <c r="Q1265"/>
    </row>
    <row r="1266" spans="15:17" ht="12.75">
      <c r="O1266"/>
      <c r="P1266"/>
      <c r="Q1266"/>
    </row>
    <row r="1267" spans="15:17" ht="12.75">
      <c r="O1267"/>
      <c r="P1267"/>
      <c r="Q1267"/>
    </row>
    <row r="1268" spans="15:17" ht="12.75">
      <c r="O1268"/>
      <c r="P1268"/>
      <c r="Q1268"/>
    </row>
    <row r="1269" spans="15:17" ht="12.75">
      <c r="O1269"/>
      <c r="P1269"/>
      <c r="Q1269"/>
    </row>
    <row r="1270" spans="15:17" ht="12.75">
      <c r="O1270"/>
      <c r="P1270"/>
      <c r="Q1270"/>
    </row>
    <row r="1271" spans="15:17" ht="12.75">
      <c r="O1271"/>
      <c r="P1271"/>
      <c r="Q1271"/>
    </row>
    <row r="1272" spans="15:17" ht="12.75">
      <c r="O1272"/>
      <c r="P1272"/>
      <c r="Q1272"/>
    </row>
    <row r="1273" spans="15:17" ht="12.75">
      <c r="O1273"/>
      <c r="P1273"/>
      <c r="Q1273"/>
    </row>
    <row r="1274" spans="15:17" ht="12.75">
      <c r="O1274"/>
      <c r="P1274"/>
      <c r="Q1274"/>
    </row>
    <row r="1275" spans="15:17" ht="12.75">
      <c r="O1275"/>
      <c r="P1275"/>
      <c r="Q1275"/>
    </row>
    <row r="1276" spans="15:17" ht="12.75">
      <c r="O1276"/>
      <c r="P1276"/>
      <c r="Q1276"/>
    </row>
    <row r="1277" spans="15:17" ht="12.75">
      <c r="O1277"/>
      <c r="P1277"/>
      <c r="Q1277"/>
    </row>
    <row r="1278" spans="15:17" ht="12.75">
      <c r="O1278"/>
      <c r="P1278"/>
      <c r="Q1278"/>
    </row>
    <row r="1279" spans="15:17" ht="12.75">
      <c r="O1279"/>
      <c r="P1279"/>
      <c r="Q1279"/>
    </row>
    <row r="1280" spans="15:17" ht="12.75">
      <c r="O1280"/>
      <c r="P1280"/>
      <c r="Q1280"/>
    </row>
    <row r="1281" spans="15:17" ht="12.75">
      <c r="O1281"/>
      <c r="P1281"/>
      <c r="Q1281"/>
    </row>
    <row r="1282" spans="15:17" ht="12.75">
      <c r="O1282"/>
      <c r="P1282"/>
      <c r="Q1282"/>
    </row>
    <row r="1283" spans="15:17" ht="12.75">
      <c r="O1283"/>
      <c r="P1283"/>
      <c r="Q1283"/>
    </row>
    <row r="1284" spans="15:17" ht="12.75">
      <c r="O1284"/>
      <c r="P1284"/>
      <c r="Q1284"/>
    </row>
    <row r="1285" spans="15:17" ht="12.75">
      <c r="O1285"/>
      <c r="P1285"/>
      <c r="Q1285"/>
    </row>
    <row r="1286" spans="15:17" ht="12.75">
      <c r="O1286"/>
      <c r="P1286"/>
      <c r="Q1286"/>
    </row>
    <row r="1287" spans="15:17" ht="12.75">
      <c r="O1287"/>
      <c r="P1287"/>
      <c r="Q1287"/>
    </row>
    <row r="1288" spans="15:17" ht="12.75">
      <c r="O1288"/>
      <c r="P1288"/>
      <c r="Q1288"/>
    </row>
    <row r="1289" spans="15:17" ht="12.75">
      <c r="O1289"/>
      <c r="P1289"/>
      <c r="Q1289"/>
    </row>
    <row r="1290" spans="15:17" ht="12.75">
      <c r="O1290"/>
      <c r="P1290"/>
      <c r="Q1290"/>
    </row>
    <row r="1291" spans="15:17" ht="12.75">
      <c r="O1291"/>
      <c r="P1291"/>
      <c r="Q1291"/>
    </row>
    <row r="1292" spans="15:17" ht="12.75">
      <c r="O1292"/>
      <c r="P1292"/>
      <c r="Q1292"/>
    </row>
    <row r="1293" spans="15:17" ht="12.75">
      <c r="O1293"/>
      <c r="P1293"/>
      <c r="Q1293"/>
    </row>
    <row r="1294" spans="15:17" ht="12.75">
      <c r="O1294"/>
      <c r="P1294"/>
      <c r="Q1294"/>
    </row>
    <row r="1295" spans="15:17" ht="12.75">
      <c r="O1295"/>
      <c r="P1295"/>
      <c r="Q1295"/>
    </row>
    <row r="1296" spans="15:17" ht="12.75">
      <c r="O1296"/>
      <c r="P1296"/>
      <c r="Q1296"/>
    </row>
    <row r="1297" spans="15:17" ht="12.75">
      <c r="O1297"/>
      <c r="P1297"/>
      <c r="Q1297"/>
    </row>
    <row r="1298" spans="15:17" ht="12.75">
      <c r="O1298"/>
      <c r="P1298"/>
      <c r="Q1298"/>
    </row>
    <row r="1299" spans="15:17" ht="12.75">
      <c r="O1299"/>
      <c r="P1299"/>
      <c r="Q1299"/>
    </row>
    <row r="1300" spans="15:17" ht="12.75">
      <c r="O1300"/>
      <c r="P1300"/>
      <c r="Q1300"/>
    </row>
    <row r="1301" spans="15:17" ht="12.75">
      <c r="O1301"/>
      <c r="P1301"/>
      <c r="Q1301"/>
    </row>
    <row r="1302" spans="15:17" ht="12.75">
      <c r="O1302"/>
      <c r="P1302"/>
      <c r="Q1302"/>
    </row>
    <row r="1303" spans="15:17" ht="12.75">
      <c r="O1303"/>
      <c r="P1303"/>
      <c r="Q1303"/>
    </row>
    <row r="1304" spans="15:17" ht="12.75">
      <c r="O1304"/>
      <c r="P1304"/>
      <c r="Q1304"/>
    </row>
    <row r="1305" spans="15:17" ht="12.75">
      <c r="O1305"/>
      <c r="P1305"/>
      <c r="Q1305"/>
    </row>
    <row r="1306" spans="15:17" ht="12.75">
      <c r="O1306"/>
      <c r="P1306"/>
      <c r="Q1306"/>
    </row>
    <row r="1307" spans="15:17" ht="12.75">
      <c r="O1307"/>
      <c r="P1307"/>
      <c r="Q1307"/>
    </row>
    <row r="1308" spans="15:17" ht="12.75">
      <c r="O1308"/>
      <c r="P1308"/>
      <c r="Q1308"/>
    </row>
    <row r="1309" spans="15:17" ht="12.75">
      <c r="O1309"/>
      <c r="P1309"/>
      <c r="Q1309"/>
    </row>
    <row r="1310" spans="15:17" ht="12.75">
      <c r="O1310"/>
      <c r="P1310"/>
      <c r="Q1310"/>
    </row>
    <row r="1311" spans="15:17" ht="12.75">
      <c r="O1311"/>
      <c r="P1311"/>
      <c r="Q1311"/>
    </row>
    <row r="1312" spans="15:17" ht="12.75">
      <c r="O1312"/>
      <c r="P1312"/>
      <c r="Q1312"/>
    </row>
    <row r="1313" spans="15:17" ht="12.75">
      <c r="O1313"/>
      <c r="P1313"/>
      <c r="Q1313"/>
    </row>
    <row r="1314" spans="15:17" ht="12.75">
      <c r="O1314"/>
      <c r="P1314"/>
      <c r="Q1314"/>
    </row>
    <row r="1315" spans="15:17" ht="12.75">
      <c r="O1315"/>
      <c r="P1315"/>
      <c r="Q1315"/>
    </row>
    <row r="1316" spans="15:17" ht="12.75">
      <c r="O1316"/>
      <c r="P1316"/>
      <c r="Q1316"/>
    </row>
    <row r="1317" spans="15:17" ht="12.75">
      <c r="O1317"/>
      <c r="P1317"/>
      <c r="Q1317"/>
    </row>
    <row r="1318" spans="15:17" ht="12.75">
      <c r="O1318"/>
      <c r="P1318"/>
      <c r="Q1318"/>
    </row>
    <row r="1319" spans="15:17" ht="12.75">
      <c r="O1319"/>
      <c r="P1319"/>
      <c r="Q1319"/>
    </row>
    <row r="1320" spans="15:17" ht="12.75">
      <c r="O1320"/>
      <c r="P1320"/>
      <c r="Q1320"/>
    </row>
    <row r="1321" spans="15:17" ht="12.75">
      <c r="O1321"/>
      <c r="P1321"/>
      <c r="Q1321"/>
    </row>
    <row r="1322" spans="15:17" ht="12.75">
      <c r="O1322"/>
      <c r="P1322"/>
      <c r="Q1322"/>
    </row>
    <row r="1323" spans="15:17" ht="12.75">
      <c r="O1323"/>
      <c r="P1323"/>
      <c r="Q1323"/>
    </row>
    <row r="1324" spans="15:17" ht="12.75">
      <c r="O1324"/>
      <c r="P1324"/>
      <c r="Q1324"/>
    </row>
    <row r="1325" spans="15:17" ht="12.75">
      <c r="O1325"/>
      <c r="P1325"/>
      <c r="Q1325"/>
    </row>
    <row r="1326" spans="15:17" ht="12.75">
      <c r="O1326"/>
      <c r="P1326"/>
      <c r="Q1326"/>
    </row>
    <row r="1327" spans="15:17" ht="12.75">
      <c r="O1327"/>
      <c r="P1327"/>
      <c r="Q1327"/>
    </row>
    <row r="1328" spans="15:17" ht="12.75">
      <c r="O1328"/>
      <c r="P1328"/>
      <c r="Q1328"/>
    </row>
    <row r="1329" spans="15:17" ht="12.75">
      <c r="O1329"/>
      <c r="P1329"/>
      <c r="Q1329"/>
    </row>
    <row r="1330" spans="15:17" ht="12.75">
      <c r="O1330"/>
      <c r="P1330"/>
      <c r="Q1330"/>
    </row>
    <row r="1331" spans="15:17" ht="12.75">
      <c r="O1331"/>
      <c r="P1331"/>
      <c r="Q1331"/>
    </row>
    <row r="1332" spans="15:17" ht="12.75">
      <c r="O1332"/>
      <c r="P1332"/>
      <c r="Q1332"/>
    </row>
    <row r="1333" spans="15:17" ht="12.75">
      <c r="O1333"/>
      <c r="P1333"/>
      <c r="Q1333"/>
    </row>
    <row r="1334" spans="15:17" ht="12.75">
      <c r="O1334"/>
      <c r="P1334"/>
      <c r="Q1334"/>
    </row>
    <row r="1335" spans="15:17" ht="12.75">
      <c r="O1335"/>
      <c r="P1335"/>
      <c r="Q1335"/>
    </row>
    <row r="1336" spans="15:17" ht="12.75">
      <c r="O1336"/>
      <c r="P1336"/>
      <c r="Q1336"/>
    </row>
    <row r="1337" spans="15:17" ht="12.75">
      <c r="O1337"/>
      <c r="P1337"/>
      <c r="Q1337"/>
    </row>
    <row r="1338" spans="15:17" ht="12.75">
      <c r="O1338"/>
      <c r="P1338"/>
      <c r="Q1338"/>
    </row>
    <row r="1339" spans="15:17" ht="12.75">
      <c r="O1339"/>
      <c r="P1339"/>
      <c r="Q1339"/>
    </row>
    <row r="1340" spans="15:17" ht="12.75">
      <c r="O1340"/>
      <c r="P1340"/>
      <c r="Q1340"/>
    </row>
    <row r="1341" spans="15:17" ht="12.75">
      <c r="O1341"/>
      <c r="P1341"/>
      <c r="Q1341"/>
    </row>
    <row r="1342" spans="15:17" ht="12.75">
      <c r="O1342"/>
      <c r="P1342"/>
      <c r="Q1342"/>
    </row>
    <row r="1343" spans="15:17" ht="12.75">
      <c r="O1343"/>
      <c r="P1343"/>
      <c r="Q1343"/>
    </row>
    <row r="1344" spans="15:17" ht="12.75">
      <c r="O1344"/>
      <c r="P1344"/>
      <c r="Q1344"/>
    </row>
    <row r="1345" spans="15:17" ht="12.75">
      <c r="O1345"/>
      <c r="P1345"/>
      <c r="Q1345"/>
    </row>
    <row r="1346" spans="15:17" ht="12.75">
      <c r="O1346"/>
      <c r="P1346"/>
      <c r="Q1346"/>
    </row>
    <row r="1347" spans="15:17" ht="12.75">
      <c r="O1347"/>
      <c r="P1347"/>
      <c r="Q1347"/>
    </row>
    <row r="1348" spans="15:17" ht="12.75">
      <c r="O1348"/>
      <c r="P1348"/>
      <c r="Q1348"/>
    </row>
    <row r="1349" spans="15:17" ht="12.75">
      <c r="O1349"/>
      <c r="P1349"/>
      <c r="Q1349"/>
    </row>
    <row r="1350" spans="15:17" ht="12.75">
      <c r="O1350"/>
      <c r="P1350"/>
      <c r="Q1350"/>
    </row>
    <row r="1351" spans="15:17" ht="12.75">
      <c r="O1351"/>
      <c r="P1351"/>
      <c r="Q1351"/>
    </row>
    <row r="1352" spans="15:17" ht="12.75">
      <c r="O1352"/>
      <c r="P1352"/>
      <c r="Q1352"/>
    </row>
    <row r="1353" spans="15:17" ht="12.75">
      <c r="O1353"/>
      <c r="P1353"/>
      <c r="Q1353"/>
    </row>
    <row r="1354" spans="15:17" ht="12.75">
      <c r="O1354"/>
      <c r="P1354"/>
      <c r="Q1354"/>
    </row>
    <row r="1355" spans="15:17" ht="12.75">
      <c r="O1355"/>
      <c r="P1355"/>
      <c r="Q1355"/>
    </row>
    <row r="1356" spans="15:17" ht="12.75">
      <c r="O1356"/>
      <c r="P1356"/>
      <c r="Q1356"/>
    </row>
    <row r="1357" spans="15:17" ht="12.75">
      <c r="O1357"/>
      <c r="P1357"/>
      <c r="Q1357"/>
    </row>
    <row r="1358" spans="15:17" ht="12.75">
      <c r="O1358"/>
      <c r="P1358"/>
      <c r="Q1358"/>
    </row>
    <row r="1359" spans="15:17" ht="12.75">
      <c r="O1359"/>
      <c r="P1359"/>
      <c r="Q1359"/>
    </row>
    <row r="1360" spans="15:17" ht="12.75">
      <c r="O1360"/>
      <c r="P1360"/>
      <c r="Q1360"/>
    </row>
    <row r="1361" spans="15:17" ht="12.75">
      <c r="O1361"/>
      <c r="P1361"/>
      <c r="Q1361"/>
    </row>
    <row r="1362" spans="15:17" ht="12.75">
      <c r="O1362"/>
      <c r="P1362"/>
      <c r="Q1362"/>
    </row>
    <row r="1363" spans="15:17" ht="12.75">
      <c r="O1363"/>
      <c r="P1363"/>
      <c r="Q1363"/>
    </row>
    <row r="1364" spans="15:17" ht="12.75">
      <c r="O1364"/>
      <c r="P1364"/>
      <c r="Q1364"/>
    </row>
    <row r="1365" spans="15:17" ht="12.75">
      <c r="O1365"/>
      <c r="P1365"/>
      <c r="Q1365"/>
    </row>
    <row r="1366" spans="15:17" ht="12.75">
      <c r="O1366"/>
      <c r="P1366"/>
      <c r="Q1366"/>
    </row>
    <row r="1367" spans="15:17" ht="12.75">
      <c r="O1367"/>
      <c r="P1367"/>
      <c r="Q1367"/>
    </row>
    <row r="1368" spans="15:17" ht="12.75">
      <c r="O1368"/>
      <c r="P1368"/>
      <c r="Q1368"/>
    </row>
    <row r="1369" spans="15:17" ht="12.75">
      <c r="O1369"/>
      <c r="P1369"/>
      <c r="Q1369"/>
    </row>
    <row r="1370" spans="15:17" ht="12.75">
      <c r="O1370"/>
      <c r="P1370"/>
      <c r="Q1370"/>
    </row>
    <row r="1371" spans="15:17" ht="12.75">
      <c r="O1371"/>
      <c r="P1371"/>
      <c r="Q1371"/>
    </row>
    <row r="1372" spans="15:17" ht="12.75">
      <c r="O1372"/>
      <c r="P1372"/>
      <c r="Q1372"/>
    </row>
    <row r="1373" spans="15:17" ht="12.75">
      <c r="O1373"/>
      <c r="P1373"/>
      <c r="Q1373"/>
    </row>
    <row r="1374" spans="15:17" ht="12.75">
      <c r="O1374"/>
      <c r="P1374"/>
      <c r="Q1374"/>
    </row>
    <row r="1375" spans="15:17" ht="12.75">
      <c r="O1375"/>
      <c r="P1375"/>
      <c r="Q1375"/>
    </row>
    <row r="1376" spans="15:17" ht="12.75">
      <c r="O1376"/>
      <c r="P1376"/>
      <c r="Q1376"/>
    </row>
    <row r="1377" spans="15:17" ht="12.75">
      <c r="O1377"/>
      <c r="P1377"/>
      <c r="Q1377"/>
    </row>
    <row r="1378" spans="15:17" ht="12.75">
      <c r="O1378"/>
      <c r="P1378"/>
      <c r="Q1378"/>
    </row>
    <row r="1379" spans="15:17" ht="12.75">
      <c r="O1379"/>
      <c r="P1379"/>
      <c r="Q1379"/>
    </row>
    <row r="1380" spans="15:17" ht="12.75">
      <c r="O1380"/>
      <c r="P1380"/>
      <c r="Q1380"/>
    </row>
    <row r="1381" spans="15:17" ht="12.75">
      <c r="O1381"/>
      <c r="P1381"/>
      <c r="Q1381"/>
    </row>
    <row r="1382" spans="15:17" ht="12.75">
      <c r="O1382"/>
      <c r="P1382"/>
      <c r="Q1382"/>
    </row>
    <row r="1383" spans="15:17" ht="12.75">
      <c r="O1383"/>
      <c r="P1383"/>
      <c r="Q1383"/>
    </row>
    <row r="1384" spans="15:17" ht="12.75">
      <c r="O1384"/>
      <c r="P1384"/>
      <c r="Q1384"/>
    </row>
    <row r="1385" spans="15:17" ht="12.75">
      <c r="O1385"/>
      <c r="P1385"/>
      <c r="Q1385"/>
    </row>
    <row r="1386" spans="15:17" ht="12.75">
      <c r="O1386"/>
      <c r="P1386"/>
      <c r="Q1386"/>
    </row>
    <row r="1387" spans="15:17" ht="12.75">
      <c r="O1387"/>
      <c r="P1387"/>
      <c r="Q1387"/>
    </row>
    <row r="1388" spans="15:17" ht="12.75">
      <c r="O1388"/>
      <c r="P1388"/>
      <c r="Q1388"/>
    </row>
    <row r="1389" spans="15:17" ht="12.75">
      <c r="O1389"/>
      <c r="P1389"/>
      <c r="Q1389"/>
    </row>
    <row r="1390" spans="15:17" ht="12.75">
      <c r="O1390"/>
      <c r="P1390"/>
      <c r="Q1390"/>
    </row>
    <row r="1391" spans="15:17" ht="12.75">
      <c r="O1391"/>
      <c r="P1391"/>
      <c r="Q1391"/>
    </row>
    <row r="1392" spans="15:17" ht="12.75">
      <c r="O1392"/>
      <c r="P1392"/>
      <c r="Q1392"/>
    </row>
    <row r="1393" spans="15:17" ht="12.75">
      <c r="O1393"/>
      <c r="P1393"/>
      <c r="Q1393"/>
    </row>
    <row r="1394" spans="15:17" ht="12.75">
      <c r="O1394"/>
      <c r="P1394"/>
      <c r="Q1394"/>
    </row>
    <row r="1395" spans="15:17" ht="12.75">
      <c r="O1395"/>
      <c r="P1395"/>
      <c r="Q1395"/>
    </row>
    <row r="1396" spans="15:17" ht="12.75">
      <c r="O1396"/>
      <c r="P1396"/>
      <c r="Q1396"/>
    </row>
    <row r="1397" spans="15:17" ht="12.75">
      <c r="O1397"/>
      <c r="P1397"/>
      <c r="Q1397"/>
    </row>
    <row r="1398" spans="15:17" ht="12.75">
      <c r="O1398"/>
      <c r="P1398"/>
      <c r="Q1398"/>
    </row>
    <row r="1399" spans="15:17" ht="12.75">
      <c r="O1399"/>
      <c r="P1399"/>
      <c r="Q1399"/>
    </row>
    <row r="1400" spans="15:17" ht="12.75">
      <c r="O1400"/>
      <c r="P1400"/>
      <c r="Q1400"/>
    </row>
    <row r="1401" spans="15:17" ht="12.75">
      <c r="O1401"/>
      <c r="P1401"/>
      <c r="Q1401"/>
    </row>
    <row r="1402" spans="15:17" ht="12.75">
      <c r="O1402"/>
      <c r="P1402"/>
      <c r="Q1402"/>
    </row>
    <row r="1403" spans="15:17" ht="12.75">
      <c r="O1403"/>
      <c r="P1403"/>
      <c r="Q1403"/>
    </row>
    <row r="1404" spans="15:17" ht="12.75">
      <c r="O1404"/>
      <c r="P1404"/>
      <c r="Q1404"/>
    </row>
    <row r="1405" spans="15:17" ht="12.75">
      <c r="O1405"/>
      <c r="P1405"/>
      <c r="Q1405"/>
    </row>
    <row r="1406" spans="15:17" ht="12.75">
      <c r="O1406"/>
      <c r="P1406"/>
      <c r="Q1406"/>
    </row>
    <row r="1407" spans="15:17" ht="12.75">
      <c r="O1407"/>
      <c r="P1407"/>
      <c r="Q1407"/>
    </row>
    <row r="1408" spans="15:17" ht="12.75">
      <c r="O1408"/>
      <c r="P1408"/>
      <c r="Q1408"/>
    </row>
    <row r="1409" spans="15:17" ht="12.75">
      <c r="O1409"/>
      <c r="P1409"/>
      <c r="Q1409"/>
    </row>
    <row r="1410" spans="15:17" ht="12.75">
      <c r="O1410"/>
      <c r="P1410"/>
      <c r="Q1410"/>
    </row>
    <row r="1411" spans="15:17" ht="12.75">
      <c r="O1411"/>
      <c r="P1411"/>
      <c r="Q1411"/>
    </row>
    <row r="1412" spans="15:17" ht="12.75">
      <c r="O1412"/>
      <c r="P1412"/>
      <c r="Q1412"/>
    </row>
    <row r="1413" spans="15:17" ht="12.75">
      <c r="O1413"/>
      <c r="P1413"/>
      <c r="Q1413"/>
    </row>
    <row r="1414" spans="15:17" ht="12.75">
      <c r="O1414"/>
      <c r="P1414"/>
      <c r="Q1414"/>
    </row>
    <row r="1415" spans="15:17" ht="12.75">
      <c r="O1415"/>
      <c r="P1415"/>
      <c r="Q1415"/>
    </row>
    <row r="1416" spans="15:17" ht="12.75">
      <c r="O1416"/>
      <c r="P1416"/>
      <c r="Q1416"/>
    </row>
    <row r="1417" spans="15:17" ht="12.75">
      <c r="O1417"/>
      <c r="P1417"/>
      <c r="Q1417"/>
    </row>
    <row r="1418" spans="15:17" ht="12.75">
      <c r="O1418"/>
      <c r="P1418"/>
      <c r="Q1418"/>
    </row>
    <row r="1419" spans="15:17" ht="12.75">
      <c r="O1419"/>
      <c r="P1419"/>
      <c r="Q1419"/>
    </row>
    <row r="1420" spans="15:17" ht="12.75">
      <c r="O1420"/>
      <c r="P1420"/>
      <c r="Q1420"/>
    </row>
    <row r="1421" spans="15:17" ht="12.75">
      <c r="O1421"/>
      <c r="P1421"/>
      <c r="Q1421"/>
    </row>
    <row r="1422" spans="15:17" ht="12.75">
      <c r="O1422"/>
      <c r="P1422"/>
      <c r="Q1422"/>
    </row>
    <row r="1423" spans="15:17" ht="12.75">
      <c r="O1423"/>
      <c r="P1423"/>
      <c r="Q1423"/>
    </row>
    <row r="1424" spans="15:17" ht="12.75">
      <c r="O1424"/>
      <c r="P1424"/>
      <c r="Q1424"/>
    </row>
    <row r="1425" spans="15:17" ht="12.75">
      <c r="O1425"/>
      <c r="P1425"/>
      <c r="Q1425"/>
    </row>
    <row r="1426" spans="15:17" ht="12.75">
      <c r="O1426"/>
      <c r="P1426"/>
      <c r="Q1426"/>
    </row>
    <row r="1427" spans="15:17" ht="12.75">
      <c r="O1427"/>
      <c r="P1427"/>
      <c r="Q1427"/>
    </row>
    <row r="1428" spans="15:17" ht="12.75">
      <c r="O1428"/>
      <c r="P1428"/>
      <c r="Q1428"/>
    </row>
    <row r="1429" spans="15:17" ht="12.75">
      <c r="O1429"/>
      <c r="P1429"/>
      <c r="Q1429"/>
    </row>
    <row r="1430" spans="15:17" ht="12.75">
      <c r="O1430"/>
      <c r="P1430"/>
      <c r="Q1430"/>
    </row>
    <row r="1431" spans="15:17" ht="12.75">
      <c r="O1431"/>
      <c r="P1431"/>
      <c r="Q1431"/>
    </row>
    <row r="1432" spans="15:17" ht="12.75">
      <c r="O1432"/>
      <c r="P1432"/>
      <c r="Q1432"/>
    </row>
    <row r="1433" spans="15:17" ht="12.75">
      <c r="O1433"/>
      <c r="P1433"/>
      <c r="Q1433"/>
    </row>
    <row r="1434" spans="15:17" ht="12.75">
      <c r="O1434"/>
      <c r="P1434"/>
      <c r="Q1434"/>
    </row>
    <row r="1435" spans="15:17" ht="12.75">
      <c r="O1435"/>
      <c r="P1435"/>
      <c r="Q1435"/>
    </row>
    <row r="1436" spans="15:17" ht="12.75">
      <c r="O1436"/>
      <c r="P1436"/>
      <c r="Q1436"/>
    </row>
    <row r="1437" spans="15:17" ht="12.75">
      <c r="O1437"/>
      <c r="P1437"/>
      <c r="Q1437"/>
    </row>
    <row r="1438" spans="15:17" ht="12.75">
      <c r="O1438"/>
      <c r="P1438"/>
      <c r="Q1438"/>
    </row>
    <row r="1439" spans="15:17" ht="12.75">
      <c r="O1439"/>
      <c r="P1439"/>
      <c r="Q1439"/>
    </row>
    <row r="1440" spans="15:17" ht="12.75">
      <c r="O1440"/>
      <c r="P1440"/>
      <c r="Q1440"/>
    </row>
    <row r="1441" spans="15:17" ht="12.75">
      <c r="O1441"/>
      <c r="P1441"/>
      <c r="Q1441"/>
    </row>
    <row r="1442" spans="15:17" ht="12.75">
      <c r="O1442"/>
      <c r="P1442"/>
      <c r="Q1442"/>
    </row>
    <row r="1443" spans="15:17" ht="12.75">
      <c r="O1443"/>
      <c r="P1443"/>
      <c r="Q1443"/>
    </row>
    <row r="1444" spans="15:17" ht="12.75">
      <c r="O1444"/>
      <c r="P1444"/>
      <c r="Q1444"/>
    </row>
    <row r="1445" spans="15:17" ht="12.75">
      <c r="O1445"/>
      <c r="P1445"/>
      <c r="Q1445"/>
    </row>
    <row r="1446" spans="15:17" ht="12.75">
      <c r="O1446"/>
      <c r="P1446"/>
      <c r="Q1446"/>
    </row>
    <row r="1447" spans="15:17" ht="12.75">
      <c r="O1447"/>
      <c r="P1447"/>
      <c r="Q1447"/>
    </row>
    <row r="1448" spans="15:17" ht="12.75">
      <c r="O1448"/>
      <c r="P1448"/>
      <c r="Q1448"/>
    </row>
    <row r="1449" spans="15:17" ht="12.75">
      <c r="O1449"/>
      <c r="P1449"/>
      <c r="Q1449"/>
    </row>
    <row r="1450" spans="15:17" ht="12.75">
      <c r="O1450"/>
      <c r="P1450"/>
      <c r="Q1450"/>
    </row>
    <row r="1451" spans="15:17" ht="12.75">
      <c r="O1451"/>
      <c r="P1451"/>
      <c r="Q1451"/>
    </row>
    <row r="1452" spans="15:17" ht="12.75">
      <c r="O1452"/>
      <c r="P1452"/>
      <c r="Q1452"/>
    </row>
    <row r="1453" spans="15:17" ht="12.75">
      <c r="O1453"/>
      <c r="P1453"/>
      <c r="Q1453"/>
    </row>
    <row r="1454" spans="15:17" ht="12.75">
      <c r="O1454"/>
      <c r="P1454"/>
      <c r="Q1454"/>
    </row>
    <row r="1455" spans="15:17" ht="12.75">
      <c r="O1455"/>
      <c r="P1455"/>
      <c r="Q1455"/>
    </row>
    <row r="1456" spans="15:17" ht="12.75">
      <c r="O1456"/>
      <c r="P1456"/>
      <c r="Q1456"/>
    </row>
    <row r="1457" spans="15:17" ht="12.75">
      <c r="O1457"/>
      <c r="P1457"/>
      <c r="Q1457"/>
    </row>
    <row r="1458" spans="15:17" ht="12.75">
      <c r="O1458"/>
      <c r="P1458"/>
      <c r="Q1458"/>
    </row>
    <row r="1459" spans="15:17" ht="12.75">
      <c r="O1459"/>
      <c r="P1459"/>
      <c r="Q1459"/>
    </row>
    <row r="1460" spans="15:17" ht="12.75">
      <c r="O1460"/>
      <c r="P1460"/>
      <c r="Q1460"/>
    </row>
    <row r="1461" spans="15:17" ht="12.75">
      <c r="O1461"/>
      <c r="P1461"/>
      <c r="Q1461"/>
    </row>
    <row r="1462" spans="15:17" ht="12.75">
      <c r="O1462"/>
      <c r="P1462"/>
      <c r="Q1462"/>
    </row>
    <row r="1463" spans="15:17" ht="12.75">
      <c r="O1463"/>
      <c r="P1463"/>
      <c r="Q1463"/>
    </row>
    <row r="1464" spans="15:17" ht="12.75">
      <c r="O1464"/>
      <c r="P1464"/>
      <c r="Q1464"/>
    </row>
    <row r="1465" spans="15:17" ht="12.75">
      <c r="O1465"/>
      <c r="P1465"/>
      <c r="Q1465"/>
    </row>
    <row r="1466" spans="15:17" ht="12.75">
      <c r="O1466"/>
      <c r="P1466"/>
      <c r="Q1466"/>
    </row>
    <row r="1467" spans="15:17" ht="12.75">
      <c r="O1467"/>
      <c r="P1467"/>
      <c r="Q1467"/>
    </row>
    <row r="1468" spans="15:17" ht="12.75">
      <c r="O1468"/>
      <c r="P1468"/>
      <c r="Q1468"/>
    </row>
    <row r="1469" spans="15:17" ht="12.75">
      <c r="O1469"/>
      <c r="P1469"/>
      <c r="Q1469"/>
    </row>
    <row r="1470" spans="15:17" ht="12.75">
      <c r="O1470"/>
      <c r="P1470"/>
      <c r="Q1470"/>
    </row>
    <row r="1471" spans="15:17" ht="12.75">
      <c r="O1471"/>
      <c r="P1471"/>
      <c r="Q1471"/>
    </row>
    <row r="1472" spans="15:17" ht="12.75">
      <c r="O1472"/>
      <c r="P1472"/>
      <c r="Q1472"/>
    </row>
    <row r="1473" spans="15:17" ht="12.75">
      <c r="O1473"/>
      <c r="P1473"/>
      <c r="Q1473"/>
    </row>
    <row r="1474" spans="15:17" ht="12.75">
      <c r="O1474"/>
      <c r="P1474"/>
      <c r="Q1474"/>
    </row>
    <row r="1475" spans="15:17" ht="12.75">
      <c r="O1475"/>
      <c r="P1475"/>
      <c r="Q1475"/>
    </row>
    <row r="1476" spans="15:17" ht="12.75">
      <c r="O1476"/>
      <c r="P1476"/>
      <c r="Q1476"/>
    </row>
    <row r="1477" spans="15:17" ht="12.75">
      <c r="O1477"/>
      <c r="P1477"/>
      <c r="Q1477"/>
    </row>
    <row r="1478" spans="15:17" ht="12.75">
      <c r="O1478"/>
      <c r="P1478"/>
      <c r="Q1478"/>
    </row>
    <row r="1479" spans="15:17" ht="12.75">
      <c r="O1479"/>
      <c r="P1479"/>
      <c r="Q1479"/>
    </row>
    <row r="1480" spans="15:17" ht="12.75">
      <c r="O1480"/>
      <c r="P1480"/>
      <c r="Q1480"/>
    </row>
    <row r="1481" spans="15:17" ht="12.75">
      <c r="O1481"/>
      <c r="P1481"/>
      <c r="Q1481"/>
    </row>
    <row r="1482" spans="15:17" ht="12.75">
      <c r="O1482"/>
      <c r="P1482"/>
      <c r="Q1482"/>
    </row>
    <row r="1483" spans="15:17" ht="12.75">
      <c r="O1483"/>
      <c r="P1483"/>
      <c r="Q1483"/>
    </row>
    <row r="1484" spans="15:17" ht="12.75">
      <c r="O1484"/>
      <c r="P1484"/>
      <c r="Q1484"/>
    </row>
    <row r="1485" spans="15:17" ht="12.75">
      <c r="O1485"/>
      <c r="P1485"/>
      <c r="Q1485"/>
    </row>
    <row r="1486" spans="15:17" ht="12.75">
      <c r="O1486"/>
      <c r="P1486"/>
      <c r="Q1486"/>
    </row>
    <row r="1487" spans="15:17" ht="12.75">
      <c r="O1487"/>
      <c r="P1487"/>
      <c r="Q1487"/>
    </row>
    <row r="1488" spans="15:17" ht="12.75">
      <c r="O1488"/>
      <c r="P1488"/>
      <c r="Q1488"/>
    </row>
    <row r="1489" spans="15:17" ht="12.75">
      <c r="O1489"/>
      <c r="P1489"/>
      <c r="Q1489"/>
    </row>
    <row r="1490" spans="15:17" ht="12.75">
      <c r="O1490"/>
      <c r="P1490"/>
      <c r="Q1490"/>
    </row>
    <row r="1491" spans="15:17" ht="12.75">
      <c r="O1491"/>
      <c r="P1491"/>
      <c r="Q1491"/>
    </row>
    <row r="1492" spans="15:17" ht="12.75">
      <c r="O1492"/>
      <c r="P1492"/>
      <c r="Q1492"/>
    </row>
    <row r="1493" spans="15:17" ht="12.75">
      <c r="O1493"/>
      <c r="P1493"/>
      <c r="Q1493"/>
    </row>
    <row r="1494" spans="15:17" ht="12.75">
      <c r="O1494"/>
      <c r="P1494"/>
      <c r="Q1494"/>
    </row>
    <row r="1495" spans="15:17" ht="12.75">
      <c r="O1495"/>
      <c r="P1495"/>
      <c r="Q1495"/>
    </row>
    <row r="1496" spans="15:17" ht="12.75">
      <c r="O1496"/>
      <c r="P1496"/>
      <c r="Q1496"/>
    </row>
    <row r="1497" spans="15:17" ht="12.75">
      <c r="O1497"/>
      <c r="P1497"/>
      <c r="Q1497"/>
    </row>
    <row r="1498" spans="15:17" ht="12.75">
      <c r="O1498"/>
      <c r="P1498"/>
      <c r="Q1498"/>
    </row>
    <row r="1499" spans="15:17" ht="12.75">
      <c r="O1499"/>
      <c r="P1499"/>
      <c r="Q1499"/>
    </row>
    <row r="1500" spans="15:17" ht="12.75">
      <c r="O1500"/>
      <c r="P1500"/>
      <c r="Q1500"/>
    </row>
    <row r="1501" spans="15:17" ht="12.75">
      <c r="O1501"/>
      <c r="P1501"/>
      <c r="Q1501"/>
    </row>
    <row r="1502" spans="15:17" ht="12.75">
      <c r="O1502"/>
      <c r="P1502"/>
      <c r="Q1502"/>
    </row>
    <row r="1503" spans="15:17" ht="12.75">
      <c r="O1503"/>
      <c r="P1503"/>
      <c r="Q1503"/>
    </row>
    <row r="1504" spans="15:17" ht="12.75">
      <c r="O1504"/>
      <c r="P1504"/>
      <c r="Q1504"/>
    </row>
    <row r="1505" spans="15:17" ht="12.75">
      <c r="O1505"/>
      <c r="P1505"/>
      <c r="Q1505"/>
    </row>
    <row r="1506" spans="15:17" ht="12.75">
      <c r="O1506"/>
      <c r="P1506"/>
      <c r="Q1506"/>
    </row>
    <row r="1507" spans="15:17" ht="12.75">
      <c r="O1507"/>
      <c r="P1507"/>
      <c r="Q1507"/>
    </row>
    <row r="1508" spans="15:17" ht="12.75">
      <c r="O1508"/>
      <c r="P1508"/>
      <c r="Q1508"/>
    </row>
    <row r="1509" spans="15:17" ht="12.75">
      <c r="O1509"/>
      <c r="P1509"/>
      <c r="Q1509"/>
    </row>
    <row r="1510" spans="15:17" ht="12.75">
      <c r="O1510"/>
      <c r="P1510"/>
      <c r="Q1510"/>
    </row>
    <row r="1511" spans="15:17" ht="12.75">
      <c r="O1511"/>
      <c r="P1511"/>
      <c r="Q1511"/>
    </row>
    <row r="1512" spans="15:17" ht="12.75">
      <c r="O1512"/>
      <c r="P1512"/>
      <c r="Q1512"/>
    </row>
    <row r="1513" spans="15:17" ht="12.75">
      <c r="O1513"/>
      <c r="P1513"/>
      <c r="Q1513"/>
    </row>
    <row r="1514" spans="15:17" ht="12.75">
      <c r="O1514"/>
      <c r="P1514"/>
      <c r="Q1514"/>
    </row>
    <row r="1515" spans="15:17" ht="12.75">
      <c r="O1515"/>
      <c r="P1515"/>
      <c r="Q1515"/>
    </row>
    <row r="1516" spans="15:17" ht="12.75">
      <c r="O1516"/>
      <c r="P1516"/>
      <c r="Q1516"/>
    </row>
    <row r="1517" spans="15:17" ht="12.75">
      <c r="O1517"/>
      <c r="P1517"/>
      <c r="Q1517"/>
    </row>
    <row r="1518" spans="15:17" ht="12.75">
      <c r="O1518"/>
      <c r="P1518"/>
      <c r="Q1518"/>
    </row>
    <row r="1519" spans="15:17" ht="12.75">
      <c r="O1519"/>
      <c r="P1519"/>
      <c r="Q1519"/>
    </row>
    <row r="1520" spans="15:17" ht="12.75">
      <c r="O1520"/>
      <c r="P1520"/>
      <c r="Q1520"/>
    </row>
    <row r="1521" spans="15:17" ht="12.75">
      <c r="O1521"/>
      <c r="P1521"/>
      <c r="Q1521"/>
    </row>
    <row r="1522" spans="15:17" ht="12.75">
      <c r="O1522"/>
      <c r="P1522"/>
      <c r="Q1522"/>
    </row>
    <row r="1523" spans="15:17" ht="12.75">
      <c r="O1523"/>
      <c r="P1523"/>
      <c r="Q1523"/>
    </row>
    <row r="1524" spans="15:17" ht="12.75">
      <c r="O1524"/>
      <c r="P1524"/>
      <c r="Q1524"/>
    </row>
    <row r="1525" spans="15:17" ht="12.75">
      <c r="O1525"/>
      <c r="P1525"/>
      <c r="Q1525"/>
    </row>
    <row r="1526" spans="15:17" ht="12.75">
      <c r="O1526"/>
      <c r="P1526"/>
      <c r="Q1526"/>
    </row>
    <row r="1527" spans="15:17" ht="12.75">
      <c r="O1527"/>
      <c r="P1527"/>
      <c r="Q1527"/>
    </row>
    <row r="1528" spans="15:17" ht="12.75">
      <c r="O1528"/>
      <c r="P1528"/>
      <c r="Q1528"/>
    </row>
    <row r="1529" spans="15:17" ht="12.75">
      <c r="O1529"/>
      <c r="P1529"/>
      <c r="Q1529"/>
    </row>
    <row r="1530" spans="15:17" ht="12.75">
      <c r="O1530"/>
      <c r="P1530"/>
      <c r="Q1530"/>
    </row>
    <row r="1531" spans="15:17" ht="12.75">
      <c r="O1531"/>
      <c r="P1531"/>
      <c r="Q1531"/>
    </row>
    <row r="1532" spans="15:17" ht="12.75">
      <c r="O1532"/>
      <c r="P1532"/>
      <c r="Q1532"/>
    </row>
    <row r="1533" spans="15:17" ht="12.75">
      <c r="O1533"/>
      <c r="P1533"/>
      <c r="Q1533"/>
    </row>
    <row r="1534" spans="15:17" ht="12.75">
      <c r="O1534"/>
      <c r="P1534"/>
      <c r="Q1534"/>
    </row>
    <row r="1535" spans="15:17" ht="12.75">
      <c r="O1535"/>
      <c r="P1535"/>
      <c r="Q1535"/>
    </row>
    <row r="1536" spans="15:17" ht="12.75">
      <c r="O1536"/>
      <c r="P1536"/>
      <c r="Q1536"/>
    </row>
    <row r="1537" spans="15:17" ht="12.75">
      <c r="O1537"/>
      <c r="P1537"/>
      <c r="Q1537"/>
    </row>
    <row r="1538" spans="15:17" ht="12.75">
      <c r="O1538"/>
      <c r="P1538"/>
      <c r="Q1538"/>
    </row>
    <row r="1539" spans="15:17" ht="12.75">
      <c r="O1539"/>
      <c r="P1539"/>
      <c r="Q1539"/>
    </row>
    <row r="1540" spans="15:17" ht="12.75">
      <c r="O1540"/>
      <c r="P1540"/>
      <c r="Q1540"/>
    </row>
    <row r="1541" spans="15:17" ht="12.75">
      <c r="O1541"/>
      <c r="P1541"/>
      <c r="Q1541"/>
    </row>
    <row r="1542" spans="15:17" ht="12.75">
      <c r="O1542"/>
      <c r="P1542"/>
      <c r="Q1542"/>
    </row>
    <row r="1543" spans="15:17" ht="12.75">
      <c r="O1543"/>
      <c r="P1543"/>
      <c r="Q1543"/>
    </row>
    <row r="1544" spans="15:17" ht="12.75">
      <c r="O1544"/>
      <c r="P1544"/>
      <c r="Q1544"/>
    </row>
    <row r="1545" spans="15:17" ht="12.75">
      <c r="O1545"/>
      <c r="P1545"/>
      <c r="Q1545"/>
    </row>
    <row r="1546" spans="15:17" ht="12.75">
      <c r="O1546"/>
      <c r="P1546"/>
      <c r="Q1546"/>
    </row>
    <row r="1547" spans="15:17" ht="12.75">
      <c r="O1547"/>
      <c r="P1547"/>
      <c r="Q1547"/>
    </row>
    <row r="1548" spans="15:17" ht="12.75">
      <c r="O1548"/>
      <c r="P1548"/>
      <c r="Q1548"/>
    </row>
    <row r="1549" spans="15:17" ht="12.75">
      <c r="O1549"/>
      <c r="P1549"/>
      <c r="Q1549"/>
    </row>
    <row r="1550" spans="15:17" ht="12.75">
      <c r="O1550"/>
      <c r="P1550"/>
      <c r="Q1550"/>
    </row>
    <row r="1551" spans="15:17" ht="12.75">
      <c r="O1551"/>
      <c r="P1551"/>
      <c r="Q1551"/>
    </row>
    <row r="1552" spans="15:17" ht="12.75">
      <c r="O1552"/>
      <c r="P1552"/>
      <c r="Q1552"/>
    </row>
    <row r="1553" spans="15:17" ht="12.75">
      <c r="O1553"/>
      <c r="P1553"/>
      <c r="Q1553"/>
    </row>
    <row r="1554" spans="15:17" ht="12.75">
      <c r="O1554"/>
      <c r="P1554"/>
      <c r="Q1554"/>
    </row>
    <row r="1555" spans="15:17" ht="12.75">
      <c r="O1555"/>
      <c r="P1555"/>
      <c r="Q1555"/>
    </row>
    <row r="1556" spans="15:17" ht="12.75">
      <c r="O1556"/>
      <c r="P1556"/>
      <c r="Q1556"/>
    </row>
    <row r="1557" spans="15:17" ht="12.75">
      <c r="O1557"/>
      <c r="P1557"/>
      <c r="Q1557"/>
    </row>
    <row r="1558" spans="15:17" ht="12.75">
      <c r="O1558"/>
      <c r="P1558"/>
      <c r="Q1558"/>
    </row>
    <row r="1559" spans="15:17" ht="12.75">
      <c r="O1559"/>
      <c r="P1559"/>
      <c r="Q1559"/>
    </row>
    <row r="1560" spans="15:17" ht="12.75">
      <c r="O1560"/>
      <c r="P1560"/>
      <c r="Q1560"/>
    </row>
    <row r="1561" spans="15:17" ht="12.75">
      <c r="O1561"/>
      <c r="P1561"/>
      <c r="Q1561"/>
    </row>
    <row r="1562" spans="15:17" ht="12.75">
      <c r="O1562"/>
      <c r="P1562"/>
      <c r="Q1562"/>
    </row>
    <row r="1563" spans="15:17" ht="12.75">
      <c r="O1563"/>
      <c r="P1563"/>
      <c r="Q1563"/>
    </row>
    <row r="1564" spans="15:17" ht="12.75">
      <c r="O1564"/>
      <c r="P1564"/>
      <c r="Q1564"/>
    </row>
    <row r="1565" spans="15:17" ht="12.75">
      <c r="O1565"/>
      <c r="P1565"/>
      <c r="Q1565"/>
    </row>
    <row r="1566" spans="15:17" ht="12.75">
      <c r="O1566"/>
      <c r="P1566"/>
      <c r="Q1566"/>
    </row>
    <row r="1567" spans="15:17" ht="12.75">
      <c r="O1567"/>
      <c r="P1567"/>
      <c r="Q1567"/>
    </row>
    <row r="1568" spans="15:17" ht="12.75">
      <c r="O1568"/>
      <c r="P1568"/>
      <c r="Q1568"/>
    </row>
    <row r="1569" spans="15:17" ht="12.75">
      <c r="O1569"/>
      <c r="P1569"/>
      <c r="Q1569"/>
    </row>
    <row r="1570" spans="15:17" ht="12.75">
      <c r="O1570"/>
      <c r="P1570"/>
      <c r="Q1570"/>
    </row>
    <row r="1571" spans="15:17" ht="12.75">
      <c r="O1571"/>
      <c r="P1571"/>
      <c r="Q1571"/>
    </row>
    <row r="1572" spans="15:17" ht="12.75">
      <c r="O1572"/>
      <c r="P1572"/>
      <c r="Q1572"/>
    </row>
    <row r="1573" spans="15:17" ht="12.75">
      <c r="O1573"/>
      <c r="P1573"/>
      <c r="Q1573"/>
    </row>
    <row r="1574" spans="15:17" ht="12.75">
      <c r="O1574"/>
      <c r="P1574"/>
      <c r="Q1574"/>
    </row>
    <row r="1575" spans="15:17" ht="12.75">
      <c r="O1575"/>
      <c r="P1575"/>
      <c r="Q1575"/>
    </row>
    <row r="1576" spans="15:17" ht="12.75">
      <c r="O1576"/>
      <c r="P1576"/>
      <c r="Q1576"/>
    </row>
    <row r="1577" spans="15:17" ht="12.75">
      <c r="O1577"/>
      <c r="P1577"/>
      <c r="Q1577"/>
    </row>
    <row r="1578" spans="15:17" ht="12.75">
      <c r="O1578"/>
      <c r="P1578"/>
      <c r="Q1578"/>
    </row>
    <row r="1579" spans="15:17" ht="12.75">
      <c r="O1579"/>
      <c r="P1579"/>
      <c r="Q1579"/>
    </row>
    <row r="1580" spans="15:17" ht="12.75">
      <c r="O1580"/>
      <c r="P1580"/>
      <c r="Q1580"/>
    </row>
    <row r="1581" spans="15:17" ht="12.75">
      <c r="O1581"/>
      <c r="P1581"/>
      <c r="Q1581"/>
    </row>
    <row r="1582" spans="15:17" ht="12.75">
      <c r="O1582"/>
      <c r="P1582"/>
      <c r="Q1582"/>
    </row>
    <row r="1583" spans="15:17" ht="12.75">
      <c r="O1583"/>
      <c r="P1583"/>
      <c r="Q1583"/>
    </row>
    <row r="1584" spans="15:17" ht="12.75">
      <c r="O1584"/>
      <c r="P1584"/>
      <c r="Q1584"/>
    </row>
    <row r="1585" spans="15:17" ht="12.75">
      <c r="O1585"/>
      <c r="P1585"/>
      <c r="Q1585"/>
    </row>
    <row r="1586" spans="15:17" ht="12.75">
      <c r="O1586"/>
      <c r="P1586"/>
      <c r="Q1586"/>
    </row>
    <row r="1587" spans="15:17" ht="12.75">
      <c r="O1587"/>
      <c r="P1587"/>
      <c r="Q1587"/>
    </row>
    <row r="1588" spans="15:17" ht="12.75">
      <c r="O1588"/>
      <c r="P1588"/>
      <c r="Q1588"/>
    </row>
    <row r="1589" spans="15:17" ht="12.75">
      <c r="O1589"/>
      <c r="P1589"/>
      <c r="Q1589"/>
    </row>
    <row r="1590" spans="15:17" ht="12.75">
      <c r="O1590"/>
      <c r="P1590"/>
      <c r="Q1590"/>
    </row>
    <row r="1591" spans="15:17" ht="12.75">
      <c r="O1591"/>
      <c r="P1591"/>
      <c r="Q1591"/>
    </row>
    <row r="1592" spans="15:17" ht="12.75">
      <c r="O1592"/>
      <c r="P1592"/>
      <c r="Q1592"/>
    </row>
    <row r="1593" spans="15:17" ht="12.75">
      <c r="O1593"/>
      <c r="P1593"/>
      <c r="Q1593"/>
    </row>
    <row r="1594" spans="15:17" ht="12.75">
      <c r="O1594"/>
      <c r="P1594"/>
      <c r="Q1594"/>
    </row>
    <row r="1595" spans="15:17" ht="12.75">
      <c r="O1595"/>
      <c r="P1595"/>
      <c r="Q1595"/>
    </row>
    <row r="1596" spans="15:17" ht="12.75">
      <c r="O1596"/>
      <c r="P1596"/>
      <c r="Q1596"/>
    </row>
    <row r="1597" spans="15:17" ht="12.75">
      <c r="O1597"/>
      <c r="P1597"/>
      <c r="Q1597"/>
    </row>
    <row r="1598" spans="15:17" ht="12.75">
      <c r="O1598"/>
      <c r="P1598"/>
      <c r="Q1598"/>
    </row>
    <row r="1599" spans="15:17" ht="12.75">
      <c r="O1599"/>
      <c r="P1599"/>
      <c r="Q1599"/>
    </row>
    <row r="1600" spans="15:17" ht="12.75">
      <c r="O1600"/>
      <c r="P1600"/>
      <c r="Q1600"/>
    </row>
    <row r="1601" spans="15:17" ht="12.75">
      <c r="O1601"/>
      <c r="P1601"/>
      <c r="Q1601"/>
    </row>
    <row r="1602" spans="15:17" ht="12.75">
      <c r="O1602"/>
      <c r="P1602"/>
      <c r="Q1602"/>
    </row>
    <row r="1603" spans="15:17" ht="12.75">
      <c r="O1603"/>
      <c r="P1603"/>
      <c r="Q1603"/>
    </row>
    <row r="1604" spans="15:17" ht="12.75">
      <c r="O1604"/>
      <c r="P1604"/>
      <c r="Q1604"/>
    </row>
    <row r="1605" spans="15:17" ht="12.75">
      <c r="O1605"/>
      <c r="P1605"/>
      <c r="Q1605"/>
    </row>
    <row r="1606" spans="15:17" ht="12.75">
      <c r="O1606"/>
      <c r="P1606"/>
      <c r="Q1606"/>
    </row>
    <row r="1607" spans="15:17" ht="12.75">
      <c r="O1607"/>
      <c r="P1607"/>
      <c r="Q1607"/>
    </row>
    <row r="1608" spans="15:17" ht="12.75">
      <c r="O1608"/>
      <c r="P1608"/>
      <c r="Q1608"/>
    </row>
    <row r="1609" spans="15:17" ht="12.75">
      <c r="O1609"/>
      <c r="P1609"/>
      <c r="Q1609"/>
    </row>
    <row r="1610" spans="15:17" ht="12.75">
      <c r="O1610"/>
      <c r="P1610"/>
      <c r="Q1610"/>
    </row>
    <row r="1611" spans="15:17" ht="12.75">
      <c r="O1611"/>
      <c r="P1611"/>
      <c r="Q1611"/>
    </row>
    <row r="1612" spans="15:17" ht="12.75">
      <c r="O1612"/>
      <c r="P1612"/>
      <c r="Q1612"/>
    </row>
    <row r="1613" spans="15:17" ht="12.75">
      <c r="O1613"/>
      <c r="P1613"/>
      <c r="Q1613"/>
    </row>
    <row r="1614" spans="15:17" ht="12.75">
      <c r="O1614"/>
      <c r="P1614"/>
      <c r="Q1614"/>
    </row>
    <row r="1615" spans="15:17" ht="12.75">
      <c r="O1615"/>
      <c r="P1615"/>
      <c r="Q1615"/>
    </row>
    <row r="1616" spans="15:17" ht="12.75">
      <c r="O1616"/>
      <c r="P1616"/>
      <c r="Q1616"/>
    </row>
    <row r="1617" spans="15:17" ht="12.75">
      <c r="O1617"/>
      <c r="P1617"/>
      <c r="Q1617"/>
    </row>
    <row r="1618" spans="15:17" ht="12.75">
      <c r="O1618"/>
      <c r="P1618"/>
      <c r="Q1618"/>
    </row>
    <row r="1619" spans="15:17" ht="12.75">
      <c r="O1619"/>
      <c r="P1619"/>
      <c r="Q1619"/>
    </row>
    <row r="1620" spans="15:17" ht="12.75">
      <c r="O1620"/>
      <c r="P1620"/>
      <c r="Q1620"/>
    </row>
    <row r="1621" spans="15:17" ht="12.75">
      <c r="O1621"/>
      <c r="P1621"/>
      <c r="Q1621"/>
    </row>
    <row r="1622" spans="15:17" ht="12.75">
      <c r="O1622"/>
      <c r="P1622"/>
      <c r="Q1622"/>
    </row>
    <row r="1623" spans="15:17" ht="12.75">
      <c r="O1623"/>
      <c r="P1623"/>
      <c r="Q1623"/>
    </row>
    <row r="1624" spans="15:17" ht="12.75">
      <c r="O1624"/>
      <c r="P1624"/>
      <c r="Q1624"/>
    </row>
    <row r="1625" spans="15:17" ht="12.75">
      <c r="O1625"/>
      <c r="P1625"/>
      <c r="Q1625"/>
    </row>
    <row r="1626" spans="15:17" ht="12.75">
      <c r="O1626"/>
      <c r="P1626"/>
      <c r="Q1626"/>
    </row>
    <row r="1627" spans="15:17" ht="12.75">
      <c r="O1627"/>
      <c r="P1627"/>
      <c r="Q1627"/>
    </row>
    <row r="1628" spans="15:17" ht="12.75">
      <c r="O1628"/>
      <c r="P1628"/>
      <c r="Q1628"/>
    </row>
    <row r="1629" spans="15:17" ht="12.75">
      <c r="O1629"/>
      <c r="P1629"/>
      <c r="Q1629"/>
    </row>
    <row r="1630" spans="15:17" ht="12.75">
      <c r="O1630"/>
      <c r="P1630"/>
      <c r="Q1630"/>
    </row>
    <row r="1631" spans="15:17" ht="12.75">
      <c r="O1631"/>
      <c r="P1631"/>
      <c r="Q1631"/>
    </row>
    <row r="1632" spans="15:17" ht="12.75">
      <c r="O1632"/>
      <c r="P1632"/>
      <c r="Q1632"/>
    </row>
    <row r="1633" spans="15:17" ht="12.75">
      <c r="O1633"/>
      <c r="P1633"/>
      <c r="Q1633"/>
    </row>
    <row r="1634" spans="15:17" ht="12.75">
      <c r="O1634"/>
      <c r="P1634"/>
      <c r="Q1634"/>
    </row>
    <row r="1635" spans="15:17" ht="12.75">
      <c r="O1635"/>
      <c r="P1635"/>
      <c r="Q1635"/>
    </row>
    <row r="1636" spans="15:17" ht="12.75">
      <c r="O1636"/>
      <c r="P1636"/>
      <c r="Q1636"/>
    </row>
    <row r="1637" spans="15:17" ht="12.75">
      <c r="O1637"/>
      <c r="P1637"/>
      <c r="Q1637"/>
    </row>
    <row r="1638" spans="15:17" ht="12.75">
      <c r="O1638"/>
      <c r="P1638"/>
      <c r="Q1638"/>
    </row>
    <row r="1639" spans="15:17" ht="12.75">
      <c r="O1639"/>
      <c r="P1639"/>
      <c r="Q1639"/>
    </row>
    <row r="1640" spans="15:17" ht="12.75">
      <c r="O1640"/>
      <c r="P1640"/>
      <c r="Q1640"/>
    </row>
    <row r="1641" spans="15:17" ht="12.75">
      <c r="O1641"/>
      <c r="P1641"/>
      <c r="Q1641"/>
    </row>
    <row r="1642" spans="15:17" ht="12.75">
      <c r="O1642"/>
      <c r="P1642"/>
      <c r="Q1642"/>
    </row>
    <row r="1643" spans="15:17" ht="12.75">
      <c r="O1643"/>
      <c r="P1643"/>
      <c r="Q1643"/>
    </row>
    <row r="1644" spans="15:17" ht="12.75">
      <c r="O1644"/>
      <c r="P1644"/>
      <c r="Q1644"/>
    </row>
    <row r="1645" spans="15:17" ht="12.75">
      <c r="O1645"/>
      <c r="P1645"/>
      <c r="Q1645"/>
    </row>
    <row r="1646" spans="15:17" ht="12.75">
      <c r="O1646"/>
      <c r="P1646"/>
      <c r="Q1646"/>
    </row>
    <row r="1647" spans="15:17" ht="12.75">
      <c r="O1647"/>
      <c r="P1647"/>
      <c r="Q1647"/>
    </row>
    <row r="1648" spans="15:17" ht="12.75">
      <c r="O1648"/>
      <c r="P1648"/>
      <c r="Q1648"/>
    </row>
    <row r="1649" spans="15:17" ht="12.75">
      <c r="O1649"/>
      <c r="P1649"/>
      <c r="Q1649"/>
    </row>
    <row r="1650" spans="15:17" ht="12.75">
      <c r="O1650"/>
      <c r="P1650"/>
      <c r="Q1650"/>
    </row>
    <row r="1651" spans="15:17" ht="12.75">
      <c r="O1651"/>
      <c r="P1651"/>
      <c r="Q1651"/>
    </row>
    <row r="1652" spans="15:17" ht="12.75">
      <c r="O1652"/>
      <c r="P1652"/>
      <c r="Q1652"/>
    </row>
    <row r="1653" spans="15:17" ht="12.75">
      <c r="O1653"/>
      <c r="P1653"/>
      <c r="Q1653"/>
    </row>
    <row r="1654" spans="15:17" ht="12.75">
      <c r="O1654"/>
      <c r="P1654"/>
      <c r="Q1654"/>
    </row>
    <row r="1655" spans="15:17" ht="12.75">
      <c r="O1655"/>
      <c r="P1655"/>
      <c r="Q1655"/>
    </row>
    <row r="1656" spans="15:17" ht="12.75">
      <c r="O1656"/>
      <c r="P1656"/>
      <c r="Q1656"/>
    </row>
    <row r="1657" spans="15:17" ht="12.75">
      <c r="O1657"/>
      <c r="P1657"/>
      <c r="Q1657"/>
    </row>
    <row r="1658" spans="15:17" ht="12.75">
      <c r="O1658"/>
      <c r="P1658"/>
      <c r="Q1658"/>
    </row>
    <row r="1659" spans="15:17" ht="12.75">
      <c r="O1659"/>
      <c r="P1659"/>
      <c r="Q1659"/>
    </row>
    <row r="1660" spans="15:17" ht="12.75">
      <c r="O1660"/>
      <c r="P1660"/>
      <c r="Q1660"/>
    </row>
    <row r="1661" spans="15:17" ht="12.75">
      <c r="O1661"/>
      <c r="P1661"/>
      <c r="Q1661"/>
    </row>
    <row r="1662" spans="15:17" ht="12.75">
      <c r="O1662"/>
      <c r="P1662"/>
      <c r="Q1662"/>
    </row>
    <row r="1663" spans="15:17" ht="12.75">
      <c r="O1663"/>
      <c r="P1663"/>
      <c r="Q1663"/>
    </row>
    <row r="1664" spans="15:17" ht="12.75">
      <c r="O1664"/>
      <c r="P1664"/>
      <c r="Q1664"/>
    </row>
    <row r="1665" spans="15:17" ht="12.75">
      <c r="O1665"/>
      <c r="P1665"/>
      <c r="Q1665"/>
    </row>
    <row r="1666" spans="15:17" ht="12.75">
      <c r="O1666"/>
      <c r="P1666"/>
      <c r="Q1666"/>
    </row>
    <row r="1667" spans="15:17" ht="12.75">
      <c r="O1667"/>
      <c r="P1667"/>
      <c r="Q1667"/>
    </row>
    <row r="1668" spans="15:17" ht="12.75">
      <c r="O1668"/>
      <c r="P1668"/>
      <c r="Q1668"/>
    </row>
    <row r="1669" spans="15:17" ht="12.75">
      <c r="O1669"/>
      <c r="P1669"/>
      <c r="Q1669"/>
    </row>
    <row r="1670" spans="15:17" ht="12.75">
      <c r="O1670"/>
      <c r="P1670"/>
      <c r="Q1670"/>
    </row>
    <row r="1671" spans="15:17" ht="12.75">
      <c r="O1671"/>
      <c r="P1671"/>
      <c r="Q1671"/>
    </row>
    <row r="1672" spans="15:17" ht="12.75">
      <c r="O1672"/>
      <c r="P1672"/>
      <c r="Q1672"/>
    </row>
    <row r="1673" spans="15:17" ht="12.75">
      <c r="O1673"/>
      <c r="P1673"/>
      <c r="Q1673"/>
    </row>
    <row r="1674" spans="15:17" ht="12.75">
      <c r="O1674"/>
      <c r="P1674"/>
      <c r="Q1674"/>
    </row>
    <row r="1675" spans="15:17" ht="12.75">
      <c r="O1675"/>
      <c r="P1675"/>
      <c r="Q1675"/>
    </row>
    <row r="1676" spans="15:17" ht="12.75">
      <c r="O1676"/>
      <c r="P1676"/>
      <c r="Q1676"/>
    </row>
    <row r="1677" spans="15:17" ht="12.75">
      <c r="O1677"/>
      <c r="P1677"/>
      <c r="Q1677"/>
    </row>
    <row r="1678" spans="15:17" ht="12.75">
      <c r="O1678"/>
      <c r="P1678"/>
      <c r="Q1678"/>
    </row>
    <row r="1679" spans="15:17" ht="12.75">
      <c r="O1679"/>
      <c r="P1679"/>
      <c r="Q1679"/>
    </row>
    <row r="1680" spans="15:17" ht="12.75">
      <c r="O1680"/>
      <c r="P1680"/>
      <c r="Q1680"/>
    </row>
    <row r="1681" spans="15:17" ht="12.75">
      <c r="O1681"/>
      <c r="P1681"/>
      <c r="Q1681"/>
    </row>
    <row r="1682" spans="15:17" ht="12.75">
      <c r="O1682"/>
      <c r="P1682"/>
      <c r="Q1682"/>
    </row>
    <row r="1683" spans="15:17" ht="12.75">
      <c r="O1683"/>
      <c r="P1683"/>
      <c r="Q1683"/>
    </row>
    <row r="1684" spans="15:17" ht="12.75">
      <c r="O1684"/>
      <c r="P1684"/>
      <c r="Q1684"/>
    </row>
    <row r="1685" spans="15:17" ht="12.75">
      <c r="O1685"/>
      <c r="P1685"/>
      <c r="Q1685"/>
    </row>
    <row r="1686" spans="15:17" ht="12.75">
      <c r="O1686"/>
      <c r="P1686"/>
      <c r="Q1686"/>
    </row>
    <row r="1687" spans="15:17" ht="12.75">
      <c r="O1687"/>
      <c r="P1687"/>
      <c r="Q1687"/>
    </row>
    <row r="1688" spans="15:17" ht="12.75">
      <c r="O1688"/>
      <c r="P1688"/>
      <c r="Q1688"/>
    </row>
    <row r="1689" spans="15:17" ht="12.75">
      <c r="O1689"/>
      <c r="P1689"/>
      <c r="Q1689"/>
    </row>
    <row r="1690" spans="15:17" ht="12.75">
      <c r="O1690"/>
      <c r="P1690"/>
      <c r="Q1690"/>
    </row>
    <row r="1691" spans="15:17" ht="12.75">
      <c r="O1691"/>
      <c r="P1691"/>
      <c r="Q1691"/>
    </row>
    <row r="1692" spans="15:17" ht="12.75">
      <c r="O1692"/>
      <c r="P1692"/>
      <c r="Q1692"/>
    </row>
    <row r="1693" spans="15:17" ht="12.75">
      <c r="O1693"/>
      <c r="P1693"/>
      <c r="Q1693"/>
    </row>
    <row r="1694" spans="15:17" ht="12.75">
      <c r="O1694"/>
      <c r="P1694"/>
      <c r="Q1694"/>
    </row>
    <row r="1695" spans="15:17" ht="12.75">
      <c r="O1695"/>
      <c r="P1695"/>
      <c r="Q1695"/>
    </row>
    <row r="1696" spans="15:17" ht="12.75">
      <c r="O1696"/>
      <c r="P1696"/>
      <c r="Q1696"/>
    </row>
    <row r="1697" spans="15:17" ht="12.75">
      <c r="O1697"/>
      <c r="P1697"/>
      <c r="Q1697"/>
    </row>
    <row r="1698" spans="15:17" ht="12.75">
      <c r="O1698"/>
      <c r="P1698"/>
      <c r="Q1698"/>
    </row>
    <row r="1699" spans="15:17" ht="12.75">
      <c r="O1699"/>
      <c r="P1699"/>
      <c r="Q1699"/>
    </row>
    <row r="1700" spans="15:17" ht="12.75">
      <c r="O1700"/>
      <c r="P1700"/>
      <c r="Q1700"/>
    </row>
    <row r="1701" spans="15:17" ht="12.75">
      <c r="O1701"/>
      <c r="P1701"/>
      <c r="Q1701"/>
    </row>
    <row r="1702" spans="15:17" ht="12.75">
      <c r="O1702"/>
      <c r="P1702"/>
      <c r="Q1702"/>
    </row>
    <row r="1703" spans="15:17" ht="12.75">
      <c r="O1703"/>
      <c r="P1703"/>
      <c r="Q1703"/>
    </row>
    <row r="1704" spans="15:17" ht="12.75">
      <c r="O1704"/>
      <c r="P1704"/>
      <c r="Q1704"/>
    </row>
    <row r="1705" spans="15:17" ht="12.75">
      <c r="O1705"/>
      <c r="P1705"/>
      <c r="Q1705"/>
    </row>
    <row r="1706" spans="15:17" ht="12.75">
      <c r="O1706"/>
      <c r="P1706"/>
      <c r="Q1706"/>
    </row>
    <row r="1707" spans="15:17" ht="12.75">
      <c r="O1707"/>
      <c r="P1707"/>
      <c r="Q1707"/>
    </row>
    <row r="1708" spans="15:17" ht="12.75">
      <c r="O1708"/>
      <c r="P1708"/>
      <c r="Q1708"/>
    </row>
    <row r="1709" spans="15:17" ht="12.75">
      <c r="O1709"/>
      <c r="P1709"/>
      <c r="Q1709"/>
    </row>
    <row r="1710" spans="15:17" ht="12.75">
      <c r="O1710"/>
      <c r="P1710"/>
      <c r="Q1710"/>
    </row>
    <row r="1711" spans="15:17" ht="12.75">
      <c r="O1711"/>
      <c r="P1711"/>
      <c r="Q1711"/>
    </row>
    <row r="1712" spans="15:17" ht="12.75">
      <c r="O1712"/>
      <c r="P1712"/>
      <c r="Q1712"/>
    </row>
    <row r="1713" spans="15:17" ht="12.75">
      <c r="O1713"/>
      <c r="P1713"/>
      <c r="Q1713"/>
    </row>
    <row r="1714" spans="15:17" ht="12.75">
      <c r="O1714"/>
      <c r="P1714"/>
      <c r="Q1714"/>
    </row>
    <row r="1715" spans="15:17" ht="12.75">
      <c r="O1715"/>
      <c r="P1715"/>
      <c r="Q1715"/>
    </row>
    <row r="1716" spans="15:17" ht="12.75">
      <c r="O1716"/>
      <c r="P1716"/>
      <c r="Q1716"/>
    </row>
    <row r="1717" spans="15:17" ht="12.75">
      <c r="O1717"/>
      <c r="P1717"/>
      <c r="Q1717"/>
    </row>
    <row r="1718" spans="15:17" ht="12.75">
      <c r="O1718"/>
      <c r="P1718"/>
      <c r="Q1718"/>
    </row>
    <row r="1719" spans="15:17" ht="12.75">
      <c r="O1719"/>
      <c r="P1719"/>
      <c r="Q1719"/>
    </row>
    <row r="1720" spans="15:17" ht="12.75">
      <c r="O1720"/>
      <c r="P1720"/>
      <c r="Q1720"/>
    </row>
    <row r="1721" spans="15:17" ht="12.75">
      <c r="O1721"/>
      <c r="P1721"/>
      <c r="Q1721"/>
    </row>
    <row r="1722" spans="15:17" ht="12.75">
      <c r="O1722"/>
      <c r="P1722"/>
      <c r="Q1722"/>
    </row>
    <row r="1723" spans="15:17" ht="12.75">
      <c r="O1723"/>
      <c r="P1723"/>
      <c r="Q1723"/>
    </row>
    <row r="1724" spans="15:17" ht="12.75">
      <c r="O1724"/>
      <c r="P1724"/>
      <c r="Q1724"/>
    </row>
    <row r="1725" spans="15:17" ht="12.75">
      <c r="O1725"/>
      <c r="P1725"/>
      <c r="Q1725"/>
    </row>
    <row r="1726" spans="15:17" ht="12.75">
      <c r="O1726"/>
      <c r="P1726"/>
      <c r="Q1726"/>
    </row>
    <row r="1727" spans="15:17" ht="12.75">
      <c r="O1727"/>
      <c r="P1727"/>
      <c r="Q1727"/>
    </row>
    <row r="1728" spans="15:17" ht="12.75">
      <c r="O1728"/>
      <c r="P1728"/>
      <c r="Q1728"/>
    </row>
    <row r="1729" spans="15:17" ht="12.75">
      <c r="O1729"/>
      <c r="P1729"/>
      <c r="Q1729"/>
    </row>
    <row r="1730" spans="15:17" ht="12.75">
      <c r="O1730"/>
      <c r="P1730"/>
      <c r="Q1730"/>
    </row>
    <row r="1731" spans="15:17" ht="12.75">
      <c r="O1731"/>
      <c r="P1731"/>
      <c r="Q1731"/>
    </row>
    <row r="1732" spans="15:17" ht="12.75">
      <c r="O1732"/>
      <c r="P1732"/>
      <c r="Q1732"/>
    </row>
    <row r="1733" spans="15:17" ht="12.75">
      <c r="O1733"/>
      <c r="P1733"/>
      <c r="Q1733"/>
    </row>
    <row r="1734" spans="15:17" ht="12.75">
      <c r="O1734"/>
      <c r="P1734"/>
      <c r="Q1734"/>
    </row>
    <row r="1735" spans="15:17" ht="12.75">
      <c r="O1735"/>
      <c r="P1735"/>
      <c r="Q1735"/>
    </row>
    <row r="1736" spans="15:17" ht="12.75">
      <c r="O1736"/>
      <c r="P1736"/>
      <c r="Q1736"/>
    </row>
    <row r="1737" spans="15:17" ht="12.75">
      <c r="O1737"/>
      <c r="P1737"/>
      <c r="Q1737"/>
    </row>
    <row r="1738" spans="15:17" ht="12.75">
      <c r="O1738"/>
      <c r="P1738"/>
      <c r="Q1738"/>
    </row>
    <row r="1739" spans="15:17" ht="12.75">
      <c r="O1739"/>
      <c r="P1739"/>
      <c r="Q1739"/>
    </row>
    <row r="1740" spans="15:17" ht="12.75">
      <c r="O1740"/>
      <c r="P1740"/>
      <c r="Q1740"/>
    </row>
    <row r="1741" spans="15:17" ht="12.75">
      <c r="O1741"/>
      <c r="P1741"/>
      <c r="Q1741"/>
    </row>
    <row r="1742" spans="15:17" ht="12.75">
      <c r="O1742"/>
      <c r="P1742"/>
      <c r="Q1742"/>
    </row>
    <row r="1743" spans="15:17" ht="12.75">
      <c r="O1743"/>
      <c r="P1743"/>
      <c r="Q1743"/>
    </row>
    <row r="1744" spans="15:17" ht="12.75">
      <c r="O1744"/>
      <c r="P1744"/>
      <c r="Q1744"/>
    </row>
    <row r="1745" spans="15:17" ht="12.75">
      <c r="O1745"/>
      <c r="P1745"/>
      <c r="Q1745"/>
    </row>
    <row r="1746" spans="15:17" ht="12.75">
      <c r="O1746"/>
      <c r="P1746"/>
      <c r="Q1746"/>
    </row>
    <row r="1747" spans="15:17" ht="12.75">
      <c r="O1747"/>
      <c r="P1747"/>
      <c r="Q1747"/>
    </row>
    <row r="1748" spans="15:17" ht="12.75">
      <c r="O1748"/>
      <c r="P1748"/>
      <c r="Q1748"/>
    </row>
    <row r="1749" spans="15:17" ht="12.75">
      <c r="O1749"/>
      <c r="P1749"/>
      <c r="Q1749"/>
    </row>
    <row r="1750" spans="15:17" ht="12.75">
      <c r="O1750"/>
      <c r="P1750"/>
      <c r="Q1750"/>
    </row>
    <row r="1751" spans="15:17" ht="12.75">
      <c r="O1751"/>
      <c r="P1751"/>
      <c r="Q1751"/>
    </row>
    <row r="1752" spans="15:17" ht="12.75">
      <c r="O1752"/>
      <c r="P1752"/>
      <c r="Q1752"/>
    </row>
    <row r="1753" spans="15:17" ht="12.75">
      <c r="O1753"/>
      <c r="P1753"/>
      <c r="Q1753"/>
    </row>
    <row r="1754" spans="15:17" ht="12.75">
      <c r="O1754"/>
      <c r="P1754"/>
      <c r="Q1754"/>
    </row>
    <row r="1755" spans="15:17" ht="12.75">
      <c r="O1755"/>
      <c r="P1755"/>
      <c r="Q1755"/>
    </row>
    <row r="1756" spans="15:17" ht="12.75">
      <c r="O1756"/>
      <c r="P1756"/>
      <c r="Q1756"/>
    </row>
    <row r="1757" spans="15:17" ht="12.75">
      <c r="O1757"/>
      <c r="P1757"/>
      <c r="Q1757"/>
    </row>
    <row r="1758" spans="15:17" ht="12.75">
      <c r="O1758"/>
      <c r="P1758"/>
      <c r="Q1758"/>
    </row>
    <row r="1759" spans="15:17" ht="12.75">
      <c r="O1759"/>
      <c r="P1759"/>
      <c r="Q1759"/>
    </row>
    <row r="1760" spans="15:17" ht="12.75">
      <c r="O1760"/>
      <c r="P1760"/>
      <c r="Q1760"/>
    </row>
    <row r="1761" spans="15:17" ht="12.75">
      <c r="O1761"/>
      <c r="P1761"/>
      <c r="Q1761"/>
    </row>
    <row r="1762" spans="15:17" ht="12.75">
      <c r="O1762"/>
      <c r="P1762"/>
      <c r="Q1762"/>
    </row>
    <row r="1763" spans="15:17" ht="12.75">
      <c r="O1763"/>
      <c r="P1763"/>
      <c r="Q1763"/>
    </row>
    <row r="1764" spans="15:17" ht="12.75">
      <c r="O1764"/>
      <c r="P1764"/>
      <c r="Q1764"/>
    </row>
    <row r="1765" spans="15:17" ht="12.75">
      <c r="O1765"/>
      <c r="P1765"/>
      <c r="Q1765"/>
    </row>
    <row r="1766" spans="15:17" ht="12.75">
      <c r="O1766"/>
      <c r="P1766"/>
      <c r="Q1766"/>
    </row>
    <row r="1767" spans="15:17" ht="12.75">
      <c r="O1767"/>
      <c r="P1767"/>
      <c r="Q1767"/>
    </row>
    <row r="1768" spans="15:17" ht="12.75">
      <c r="O1768"/>
      <c r="P1768"/>
      <c r="Q1768"/>
    </row>
    <row r="1769" spans="15:17" ht="12.75">
      <c r="O1769"/>
      <c r="P1769"/>
      <c r="Q1769"/>
    </row>
    <row r="1770" spans="15:17" ht="12.75">
      <c r="O1770"/>
      <c r="P1770"/>
      <c r="Q1770"/>
    </row>
    <row r="1771" spans="15:17" ht="12.75">
      <c r="O1771"/>
      <c r="P1771"/>
      <c r="Q1771"/>
    </row>
    <row r="1772" spans="15:17" ht="12.75">
      <c r="O1772"/>
      <c r="P1772"/>
      <c r="Q1772"/>
    </row>
    <row r="1773" spans="15:17" ht="12.75">
      <c r="O1773"/>
      <c r="P1773"/>
      <c r="Q1773"/>
    </row>
    <row r="1774" spans="15:17" ht="12.75">
      <c r="O1774"/>
      <c r="P1774"/>
      <c r="Q1774"/>
    </row>
    <row r="1775" spans="15:17" ht="12.75">
      <c r="O1775"/>
      <c r="P1775"/>
      <c r="Q1775"/>
    </row>
    <row r="1776" spans="15:17" ht="12.75">
      <c r="O1776"/>
      <c r="P1776"/>
      <c r="Q1776"/>
    </row>
    <row r="1777" spans="15:17" ht="12.75">
      <c r="O1777"/>
      <c r="P1777"/>
      <c r="Q1777"/>
    </row>
    <row r="1778" spans="15:17" ht="12.75">
      <c r="O1778"/>
      <c r="P1778"/>
      <c r="Q1778"/>
    </row>
    <row r="1779" spans="15:17" ht="12.75">
      <c r="O1779"/>
      <c r="P1779"/>
      <c r="Q1779"/>
    </row>
    <row r="1780" spans="15:17" ht="12.75">
      <c r="O1780"/>
      <c r="P1780"/>
      <c r="Q1780"/>
    </row>
    <row r="1781" spans="15:17" ht="12.75">
      <c r="O1781"/>
      <c r="P1781"/>
      <c r="Q1781"/>
    </row>
    <row r="1782" spans="15:17" ht="12.75">
      <c r="O1782"/>
      <c r="P1782"/>
      <c r="Q1782"/>
    </row>
    <row r="1783" spans="15:17" ht="12.75">
      <c r="O1783"/>
      <c r="P1783"/>
      <c r="Q1783"/>
    </row>
    <row r="1784" spans="15:17" ht="12.75">
      <c r="O1784"/>
      <c r="P1784"/>
      <c r="Q1784"/>
    </row>
    <row r="1785" spans="15:17" ht="12.75">
      <c r="O1785"/>
      <c r="P1785"/>
      <c r="Q1785"/>
    </row>
    <row r="1786" spans="15:17" ht="12.75">
      <c r="O1786"/>
      <c r="P1786"/>
      <c r="Q1786"/>
    </row>
    <row r="1787" spans="15:17" ht="12.75">
      <c r="O1787"/>
      <c r="P1787"/>
      <c r="Q1787"/>
    </row>
    <row r="1788" spans="15:17" ht="12.75">
      <c r="O1788"/>
      <c r="P1788"/>
      <c r="Q1788"/>
    </row>
    <row r="1789" spans="15:17" ht="12.75">
      <c r="O1789"/>
      <c r="P1789"/>
      <c r="Q1789"/>
    </row>
    <row r="1790" spans="15:17" ht="12.75">
      <c r="O1790"/>
      <c r="P1790"/>
      <c r="Q1790"/>
    </row>
    <row r="1791" spans="15:17" ht="12.75">
      <c r="O1791"/>
      <c r="P1791"/>
      <c r="Q1791"/>
    </row>
    <row r="1792" spans="15:17" ht="12.75">
      <c r="O1792"/>
      <c r="P1792"/>
      <c r="Q1792"/>
    </row>
    <row r="1793" spans="15:17" ht="12.75">
      <c r="O1793"/>
      <c r="P1793"/>
      <c r="Q1793"/>
    </row>
    <row r="1794" spans="15:17" ht="12.75">
      <c r="O1794"/>
      <c r="P1794"/>
      <c r="Q1794"/>
    </row>
    <row r="1795" spans="15:17" ht="12.75">
      <c r="O1795"/>
      <c r="P1795"/>
      <c r="Q1795"/>
    </row>
    <row r="1796" spans="15:17" ht="12.75">
      <c r="O1796"/>
      <c r="P1796"/>
      <c r="Q1796"/>
    </row>
    <row r="1797" spans="15:17" ht="12.75">
      <c r="O1797"/>
      <c r="P1797"/>
      <c r="Q1797"/>
    </row>
    <row r="1798" spans="15:17" ht="12.75">
      <c r="O1798"/>
      <c r="P1798"/>
      <c r="Q1798"/>
    </row>
    <row r="1799" spans="15:17" ht="12.75">
      <c r="O1799"/>
      <c r="P1799"/>
      <c r="Q1799"/>
    </row>
    <row r="1800" spans="15:17" ht="12.75">
      <c r="O1800"/>
      <c r="P1800"/>
      <c r="Q1800"/>
    </row>
    <row r="1801" spans="15:17" ht="12.75">
      <c r="O1801"/>
      <c r="P1801"/>
      <c r="Q1801"/>
    </row>
    <row r="1802" spans="15:17" ht="12.75">
      <c r="O1802"/>
      <c r="P1802"/>
      <c r="Q1802"/>
    </row>
    <row r="1803" spans="15:17" ht="12.75">
      <c r="O1803"/>
      <c r="P1803"/>
      <c r="Q1803"/>
    </row>
    <row r="1804" spans="15:17" ht="12.75">
      <c r="O1804"/>
      <c r="P1804"/>
      <c r="Q1804"/>
    </row>
    <row r="1805" spans="15:17" ht="12.75">
      <c r="O1805"/>
      <c r="P1805"/>
      <c r="Q1805"/>
    </row>
    <row r="1806" spans="15:17" ht="12.75">
      <c r="O1806"/>
      <c r="P1806"/>
      <c r="Q1806"/>
    </row>
    <row r="1807" spans="15:17" ht="12.75">
      <c r="O1807"/>
      <c r="P1807"/>
      <c r="Q1807"/>
    </row>
    <row r="1808" spans="15:17" ht="12.75">
      <c r="O1808"/>
      <c r="P1808"/>
      <c r="Q1808"/>
    </row>
    <row r="1809" spans="15:17" ht="12.75">
      <c r="O1809"/>
      <c r="P1809"/>
      <c r="Q1809"/>
    </row>
    <row r="1810" spans="15:17" ht="12.75">
      <c r="O1810"/>
      <c r="P1810"/>
      <c r="Q1810"/>
    </row>
    <row r="1811" spans="15:17" ht="12.75">
      <c r="O1811"/>
      <c r="P1811"/>
      <c r="Q1811"/>
    </row>
    <row r="1812" spans="15:17" ht="12.75">
      <c r="O1812"/>
      <c r="P1812"/>
      <c r="Q1812"/>
    </row>
    <row r="1813" spans="15:17" ht="12.75">
      <c r="O1813"/>
      <c r="P1813"/>
      <c r="Q1813"/>
    </row>
    <row r="1814" spans="15:17" ht="12.75">
      <c r="O1814"/>
      <c r="P1814"/>
      <c r="Q1814"/>
    </row>
    <row r="1815" spans="15:17" ht="12.75">
      <c r="O1815"/>
      <c r="P1815"/>
      <c r="Q1815"/>
    </row>
    <row r="1816" spans="15:17" ht="12.75">
      <c r="O1816"/>
      <c r="P1816"/>
      <c r="Q1816"/>
    </row>
    <row r="1817" spans="15:17" ht="12.75">
      <c r="O1817"/>
      <c r="P1817"/>
      <c r="Q1817"/>
    </row>
    <row r="1818" spans="15:17" ht="12.75">
      <c r="O1818"/>
      <c r="P1818"/>
      <c r="Q1818"/>
    </row>
    <row r="1819" spans="15:17" ht="12.75">
      <c r="O1819"/>
      <c r="P1819"/>
      <c r="Q1819"/>
    </row>
    <row r="1820" spans="15:17" ht="12.75">
      <c r="O1820"/>
      <c r="P1820"/>
      <c r="Q1820"/>
    </row>
    <row r="1821" spans="15:17" ht="12.75">
      <c r="O1821"/>
      <c r="P1821"/>
      <c r="Q1821"/>
    </row>
    <row r="1822" spans="15:17" ht="12.75">
      <c r="O1822"/>
      <c r="P1822"/>
      <c r="Q1822"/>
    </row>
    <row r="1823" spans="15:17" ht="12.75">
      <c r="O1823"/>
      <c r="P1823"/>
      <c r="Q1823"/>
    </row>
    <row r="1824" spans="15:17" ht="12.75">
      <c r="O1824"/>
      <c r="P1824"/>
      <c r="Q1824"/>
    </row>
    <row r="1825" spans="15:17" ht="12.75">
      <c r="O1825"/>
      <c r="P1825"/>
      <c r="Q1825"/>
    </row>
    <row r="1826" spans="15:17" ht="12.75">
      <c r="O1826"/>
      <c r="P1826"/>
      <c r="Q1826"/>
    </row>
    <row r="1827" spans="15:17" ht="12.75">
      <c r="O1827"/>
      <c r="P1827"/>
      <c r="Q1827"/>
    </row>
    <row r="1828" spans="15:17" ht="12.75">
      <c r="O1828"/>
      <c r="P1828"/>
      <c r="Q1828"/>
    </row>
    <row r="1829" spans="15:17" ht="12.75">
      <c r="O1829"/>
      <c r="P1829"/>
      <c r="Q1829"/>
    </row>
    <row r="1830" spans="15:17" ht="12.75">
      <c r="O1830"/>
      <c r="P1830"/>
      <c r="Q1830"/>
    </row>
    <row r="1831" spans="15:17" ht="12.75">
      <c r="O1831"/>
      <c r="P1831"/>
      <c r="Q1831"/>
    </row>
    <row r="1832" spans="15:17" ht="12.75">
      <c r="O1832"/>
      <c r="P1832"/>
      <c r="Q1832"/>
    </row>
    <row r="1833" spans="15:17" ht="12.75">
      <c r="O1833"/>
      <c r="P1833"/>
      <c r="Q1833"/>
    </row>
    <row r="1834" spans="15:17" ht="12.75">
      <c r="O1834"/>
      <c r="P1834"/>
      <c r="Q1834"/>
    </row>
    <row r="1835" spans="15:17" ht="12.75">
      <c r="O1835"/>
      <c r="P1835"/>
      <c r="Q1835"/>
    </row>
    <row r="1836" spans="15:17" ht="12.75">
      <c r="O1836"/>
      <c r="P1836"/>
      <c r="Q1836"/>
    </row>
    <row r="1837" spans="15:17" ht="12.75">
      <c r="O1837"/>
      <c r="P1837"/>
      <c r="Q1837"/>
    </row>
    <row r="1838" spans="15:17" ht="12.75">
      <c r="O1838"/>
      <c r="P1838"/>
      <c r="Q1838"/>
    </row>
    <row r="1839" spans="15:17" ht="12.75">
      <c r="O1839"/>
      <c r="P1839"/>
      <c r="Q1839"/>
    </row>
    <row r="1840" spans="15:17" ht="12.75">
      <c r="O1840"/>
      <c r="P1840"/>
      <c r="Q1840"/>
    </row>
    <row r="1841" spans="15:17" ht="12.75">
      <c r="O1841"/>
      <c r="P1841"/>
      <c r="Q1841"/>
    </row>
    <row r="1842" spans="15:17" ht="12.75">
      <c r="O1842"/>
      <c r="P1842"/>
      <c r="Q1842"/>
    </row>
    <row r="1843" spans="15:17" ht="12.75">
      <c r="O1843"/>
      <c r="P1843"/>
      <c r="Q1843"/>
    </row>
    <row r="1844" spans="15:17" ht="12.75">
      <c r="O1844"/>
      <c r="P1844"/>
      <c r="Q1844"/>
    </row>
    <row r="1845" spans="15:17" ht="12.75">
      <c r="O1845"/>
      <c r="P1845"/>
      <c r="Q1845"/>
    </row>
    <row r="1846" spans="15:17" ht="12.75">
      <c r="O1846"/>
      <c r="P1846"/>
      <c r="Q1846"/>
    </row>
    <row r="1847" spans="15:17" ht="12.75">
      <c r="O1847"/>
      <c r="P1847"/>
      <c r="Q1847"/>
    </row>
    <row r="1848" spans="15:17" ht="12.75">
      <c r="O1848"/>
      <c r="P1848"/>
      <c r="Q1848"/>
    </row>
    <row r="1849" spans="15:17" ht="12.75">
      <c r="O1849"/>
      <c r="P1849"/>
      <c r="Q1849"/>
    </row>
    <row r="1850" spans="15:17" ht="12.75">
      <c r="O1850"/>
      <c r="P1850"/>
      <c r="Q1850"/>
    </row>
    <row r="1851" spans="15:17" ht="12.75">
      <c r="O1851"/>
      <c r="P1851"/>
      <c r="Q1851"/>
    </row>
    <row r="1852" spans="15:17" ht="12.75">
      <c r="O1852"/>
      <c r="P1852"/>
      <c r="Q1852"/>
    </row>
    <row r="1853" spans="15:17" ht="12.75">
      <c r="O1853"/>
      <c r="P1853"/>
      <c r="Q1853"/>
    </row>
    <row r="1854" spans="15:17" ht="12.75">
      <c r="O1854"/>
      <c r="P1854"/>
      <c r="Q1854"/>
    </row>
    <row r="1855" spans="15:17" ht="12.75">
      <c r="O1855"/>
      <c r="P1855"/>
      <c r="Q1855"/>
    </row>
    <row r="1856" spans="15:17" ht="12.75">
      <c r="O1856"/>
      <c r="P1856"/>
      <c r="Q1856"/>
    </row>
    <row r="1857" spans="15:17" ht="12.75">
      <c r="O1857"/>
      <c r="P1857"/>
      <c r="Q1857"/>
    </row>
    <row r="1858" spans="15:17" ht="12.75">
      <c r="O1858"/>
      <c r="P1858"/>
      <c r="Q1858"/>
    </row>
    <row r="1859" spans="15:17" ht="12.75">
      <c r="O1859"/>
      <c r="P1859"/>
      <c r="Q1859"/>
    </row>
    <row r="1860" spans="15:17" ht="12.75">
      <c r="O1860"/>
      <c r="P1860"/>
      <c r="Q1860"/>
    </row>
    <row r="1861" spans="15:17" ht="12.75">
      <c r="O1861"/>
      <c r="P1861"/>
      <c r="Q1861"/>
    </row>
    <row r="1862" spans="15:17" ht="12.75">
      <c r="O1862"/>
      <c r="P1862"/>
      <c r="Q1862"/>
    </row>
    <row r="1863" spans="15:17" ht="12.75">
      <c r="O1863"/>
      <c r="P1863"/>
      <c r="Q1863"/>
    </row>
    <row r="1864" spans="15:17" ht="12.75">
      <c r="O1864"/>
      <c r="P1864"/>
      <c r="Q1864"/>
    </row>
    <row r="1865" spans="15:17" ht="12.75">
      <c r="O1865"/>
      <c r="P1865"/>
      <c r="Q1865"/>
    </row>
    <row r="1866" spans="15:17" ht="12.75">
      <c r="O1866"/>
      <c r="P1866"/>
      <c r="Q1866"/>
    </row>
    <row r="1867" spans="15:17" ht="12.75">
      <c r="O1867"/>
      <c r="P1867"/>
      <c r="Q1867"/>
    </row>
    <row r="1868" spans="15:17" ht="12.75">
      <c r="O1868"/>
      <c r="P1868"/>
      <c r="Q1868"/>
    </row>
    <row r="1869" spans="15:17" ht="12.75">
      <c r="O1869"/>
      <c r="P1869"/>
      <c r="Q1869"/>
    </row>
    <row r="1870" spans="15:17" ht="12.75">
      <c r="O1870"/>
      <c r="P1870"/>
      <c r="Q1870"/>
    </row>
    <row r="1871" spans="15:17" ht="12.75">
      <c r="O1871"/>
      <c r="P1871"/>
      <c r="Q1871"/>
    </row>
    <row r="1872" spans="15:17" ht="12.75">
      <c r="O1872"/>
      <c r="P1872"/>
      <c r="Q1872"/>
    </row>
    <row r="1873" spans="15:17" ht="12.75">
      <c r="O1873"/>
      <c r="P1873"/>
      <c r="Q1873"/>
    </row>
    <row r="1874" spans="15:17" ht="12.75">
      <c r="O1874"/>
      <c r="P1874"/>
      <c r="Q1874"/>
    </row>
    <row r="1875" spans="15:17" ht="12.75">
      <c r="O1875"/>
      <c r="P1875"/>
      <c r="Q1875"/>
    </row>
    <row r="1876" spans="15:17" ht="12.75">
      <c r="O1876"/>
      <c r="P1876"/>
      <c r="Q1876"/>
    </row>
    <row r="1877" spans="15:17" ht="12.75">
      <c r="O1877"/>
      <c r="P1877"/>
      <c r="Q1877"/>
    </row>
    <row r="1878" spans="15:17" ht="12.75">
      <c r="O1878"/>
      <c r="P1878"/>
      <c r="Q1878"/>
    </row>
    <row r="1879" spans="15:17" ht="12.75">
      <c r="O1879"/>
      <c r="P1879"/>
      <c r="Q1879"/>
    </row>
    <row r="1880" spans="15:17" ht="12.75">
      <c r="O1880"/>
      <c r="P1880"/>
      <c r="Q1880"/>
    </row>
    <row r="1881" spans="15:17" ht="12.75">
      <c r="O1881"/>
      <c r="P1881"/>
      <c r="Q1881"/>
    </row>
    <row r="1882" spans="15:17" ht="12.75">
      <c r="O1882"/>
      <c r="P1882"/>
      <c r="Q1882"/>
    </row>
    <row r="1883" spans="15:17" ht="12.75">
      <c r="O1883"/>
      <c r="P1883"/>
      <c r="Q1883"/>
    </row>
    <row r="1884" spans="15:17" ht="12.75">
      <c r="O1884"/>
      <c r="P1884"/>
      <c r="Q1884"/>
    </row>
    <row r="1885" spans="15:17" ht="12.75">
      <c r="O1885"/>
      <c r="P1885"/>
      <c r="Q1885"/>
    </row>
    <row r="1886" spans="15:17" ht="12.75">
      <c r="O1886"/>
      <c r="P1886"/>
      <c r="Q1886"/>
    </row>
    <row r="1887" spans="15:17" ht="12.75">
      <c r="O1887"/>
      <c r="P1887"/>
      <c r="Q1887"/>
    </row>
    <row r="1888" spans="15:17" ht="12.75">
      <c r="O1888"/>
      <c r="P1888"/>
      <c r="Q1888"/>
    </row>
    <row r="1889" spans="15:17" ht="12.75">
      <c r="O1889"/>
      <c r="P1889"/>
      <c r="Q1889"/>
    </row>
    <row r="1890" spans="15:17" ht="12.75">
      <c r="O1890"/>
      <c r="P1890"/>
      <c r="Q1890"/>
    </row>
    <row r="1891" spans="15:17" ht="12.75">
      <c r="O1891"/>
      <c r="P1891"/>
      <c r="Q1891"/>
    </row>
    <row r="1892" spans="15:17" ht="12.75">
      <c r="O1892"/>
      <c r="P1892"/>
      <c r="Q1892"/>
    </row>
    <row r="1893" spans="15:17" ht="12.75">
      <c r="O1893"/>
      <c r="P1893"/>
      <c r="Q1893"/>
    </row>
    <row r="1894" spans="15:17" ht="12.75">
      <c r="O1894"/>
      <c r="P1894"/>
      <c r="Q1894"/>
    </row>
    <row r="1895" spans="15:17" ht="12.75">
      <c r="O1895"/>
      <c r="P1895"/>
      <c r="Q1895"/>
    </row>
    <row r="1896" spans="15:17" ht="12.75">
      <c r="O1896"/>
      <c r="P1896"/>
      <c r="Q1896"/>
    </row>
    <row r="1897" spans="15:17" ht="12.75">
      <c r="O1897"/>
      <c r="P1897"/>
      <c r="Q1897"/>
    </row>
    <row r="1898" spans="15:17" ht="12.75">
      <c r="O1898"/>
      <c r="P1898"/>
      <c r="Q1898"/>
    </row>
    <row r="1899" spans="15:17" ht="12.75">
      <c r="O1899"/>
      <c r="P1899"/>
      <c r="Q1899"/>
    </row>
    <row r="1900" spans="15:17" ht="12.75">
      <c r="O1900"/>
      <c r="P1900"/>
      <c r="Q1900"/>
    </row>
    <row r="1901" spans="15:17" ht="12.75">
      <c r="O1901"/>
      <c r="P1901"/>
      <c r="Q1901"/>
    </row>
    <row r="1902" spans="15:17" ht="12.75">
      <c r="O1902"/>
      <c r="P1902"/>
      <c r="Q1902"/>
    </row>
    <row r="1903" spans="15:17" ht="12.75">
      <c r="O1903"/>
      <c r="P1903"/>
      <c r="Q1903"/>
    </row>
    <row r="1904" spans="15:17" ht="12.75">
      <c r="O1904"/>
      <c r="P1904"/>
      <c r="Q1904"/>
    </row>
    <row r="1905" spans="15:17" ht="12.75">
      <c r="O1905"/>
      <c r="P1905"/>
      <c r="Q1905"/>
    </row>
    <row r="1906" spans="15:17" ht="12.75">
      <c r="O1906"/>
      <c r="P1906"/>
      <c r="Q1906"/>
    </row>
    <row r="1907" spans="15:17" ht="12.75">
      <c r="O1907"/>
      <c r="P1907"/>
      <c r="Q1907"/>
    </row>
    <row r="1908" spans="15:17" ht="12.75">
      <c r="O1908"/>
      <c r="P1908"/>
      <c r="Q1908"/>
    </row>
    <row r="1909" spans="15:17" ht="12.75">
      <c r="O1909"/>
      <c r="P1909"/>
      <c r="Q1909"/>
    </row>
    <row r="1910" spans="15:17" ht="12.75">
      <c r="O1910"/>
      <c r="P1910"/>
      <c r="Q1910"/>
    </row>
    <row r="1911" spans="15:17" ht="12.75">
      <c r="O1911"/>
      <c r="P1911"/>
      <c r="Q1911"/>
    </row>
    <row r="1912" spans="15:17" ht="12.75">
      <c r="O1912"/>
      <c r="P1912"/>
      <c r="Q1912"/>
    </row>
    <row r="1913" spans="15:17" ht="12.75">
      <c r="O1913"/>
      <c r="P1913"/>
      <c r="Q1913"/>
    </row>
    <row r="1914" spans="15:17" ht="12.75">
      <c r="O1914"/>
      <c r="P1914"/>
      <c r="Q1914"/>
    </row>
    <row r="1915" spans="15:17" ht="12.75">
      <c r="O1915"/>
      <c r="P1915"/>
      <c r="Q1915"/>
    </row>
    <row r="1916" spans="15:17" ht="12.75">
      <c r="O1916"/>
      <c r="P1916"/>
      <c r="Q1916"/>
    </row>
    <row r="1917" spans="15:17" ht="12.75">
      <c r="O1917"/>
      <c r="P1917"/>
      <c r="Q1917"/>
    </row>
    <row r="1918" spans="15:17" ht="12.75">
      <c r="O1918"/>
      <c r="P1918"/>
      <c r="Q1918"/>
    </row>
    <row r="1919" spans="15:17" ht="12.75">
      <c r="O1919"/>
      <c r="P1919"/>
      <c r="Q1919"/>
    </row>
    <row r="1920" spans="15:17" ht="12.75">
      <c r="O1920"/>
      <c r="P1920"/>
      <c r="Q1920"/>
    </row>
    <row r="1921" spans="15:17" ht="12.75">
      <c r="O1921"/>
      <c r="P1921"/>
      <c r="Q1921"/>
    </row>
    <row r="1922" spans="15:17" ht="12.75">
      <c r="O1922"/>
      <c r="P1922"/>
      <c r="Q1922"/>
    </row>
    <row r="1923" spans="15:17" ht="12.75">
      <c r="O1923"/>
      <c r="P1923"/>
      <c r="Q1923"/>
    </row>
    <row r="1924" spans="15:17" ht="12.75">
      <c r="O1924"/>
      <c r="P1924"/>
      <c r="Q1924"/>
    </row>
    <row r="1925" spans="15:17" ht="12.75">
      <c r="O1925"/>
      <c r="P1925"/>
      <c r="Q1925"/>
    </row>
    <row r="1926" spans="15:17" ht="12.75">
      <c r="O1926"/>
      <c r="P1926"/>
      <c r="Q1926"/>
    </row>
    <row r="1927" spans="15:17" ht="12.75">
      <c r="O1927"/>
      <c r="P1927"/>
      <c r="Q1927"/>
    </row>
    <row r="1928" spans="15:17" ht="12.75">
      <c r="O1928"/>
      <c r="P1928"/>
      <c r="Q1928"/>
    </row>
    <row r="1929" spans="15:17" ht="12.75">
      <c r="O1929"/>
      <c r="P1929"/>
      <c r="Q1929"/>
    </row>
    <row r="1930" spans="15:17" ht="12.75">
      <c r="O1930"/>
      <c r="P1930"/>
      <c r="Q1930"/>
    </row>
    <row r="1931" spans="15:17" ht="12.75">
      <c r="O1931"/>
      <c r="P1931"/>
      <c r="Q1931"/>
    </row>
    <row r="1932" spans="15:17" ht="12.75">
      <c r="O1932"/>
      <c r="P1932"/>
      <c r="Q1932"/>
    </row>
    <row r="1933" spans="15:17" ht="12.75">
      <c r="O1933"/>
      <c r="P1933"/>
      <c r="Q1933"/>
    </row>
    <row r="1934" spans="15:17" ht="12.75">
      <c r="O1934"/>
      <c r="P1934"/>
      <c r="Q1934"/>
    </row>
    <row r="1935" spans="15:17" ht="12.75">
      <c r="O1935"/>
      <c r="P1935"/>
      <c r="Q1935"/>
    </row>
    <row r="1936" spans="15:17" ht="12.75">
      <c r="O1936"/>
      <c r="P1936"/>
      <c r="Q1936"/>
    </row>
    <row r="1937" spans="15:17" ht="12.75">
      <c r="O1937"/>
      <c r="P1937"/>
      <c r="Q1937"/>
    </row>
    <row r="1938" spans="15:17" ht="12.75">
      <c r="O1938"/>
      <c r="P1938"/>
      <c r="Q1938"/>
    </row>
    <row r="1939" spans="15:17" ht="12.75">
      <c r="O1939"/>
      <c r="P1939"/>
      <c r="Q1939"/>
    </row>
    <row r="1940" spans="15:17" ht="12.75">
      <c r="O1940"/>
      <c r="P1940"/>
      <c r="Q1940"/>
    </row>
    <row r="1941" spans="15:17" ht="12.75">
      <c r="O1941"/>
      <c r="P1941"/>
      <c r="Q1941"/>
    </row>
    <row r="1942" spans="15:17" ht="12.75">
      <c r="O1942"/>
      <c r="P1942"/>
      <c r="Q1942"/>
    </row>
    <row r="1943" spans="15:17" ht="12.75">
      <c r="O1943"/>
      <c r="P1943"/>
      <c r="Q1943"/>
    </row>
    <row r="1944" spans="15:17" ht="12.75">
      <c r="O1944"/>
      <c r="P1944"/>
      <c r="Q1944"/>
    </row>
    <row r="1945" spans="15:17" ht="12.75">
      <c r="O1945"/>
      <c r="P1945"/>
      <c r="Q1945"/>
    </row>
    <row r="1946" spans="15:17" ht="12.75">
      <c r="O1946"/>
      <c r="P1946"/>
      <c r="Q1946"/>
    </row>
    <row r="1947" spans="15:17" ht="12.75">
      <c r="O1947"/>
      <c r="P1947"/>
      <c r="Q1947"/>
    </row>
    <row r="1948" spans="15:17" ht="12.75">
      <c r="O1948"/>
      <c r="P1948"/>
      <c r="Q1948"/>
    </row>
    <row r="1949" spans="15:17" ht="12.75">
      <c r="O1949"/>
      <c r="P1949"/>
      <c r="Q1949"/>
    </row>
    <row r="1950" spans="15:17" ht="12.75">
      <c r="O1950"/>
      <c r="P1950"/>
      <c r="Q1950"/>
    </row>
    <row r="1951" spans="15:17" ht="12.75">
      <c r="O1951"/>
      <c r="P1951"/>
      <c r="Q1951"/>
    </row>
    <row r="1952" spans="15:17" ht="12.75">
      <c r="O1952"/>
      <c r="P1952"/>
      <c r="Q1952"/>
    </row>
    <row r="1953" spans="15:17" ht="12.75">
      <c r="O1953"/>
      <c r="P1953"/>
      <c r="Q1953"/>
    </row>
    <row r="1954" spans="15:17" ht="12.75">
      <c r="O1954"/>
      <c r="P1954"/>
      <c r="Q1954"/>
    </row>
    <row r="1955" spans="15:17" ht="12.75">
      <c r="O1955"/>
      <c r="P1955"/>
      <c r="Q1955"/>
    </row>
    <row r="1956" spans="15:17" ht="12.75">
      <c r="O1956"/>
      <c r="P1956"/>
      <c r="Q1956"/>
    </row>
    <row r="1957" spans="15:17" ht="12.75">
      <c r="O1957"/>
      <c r="P1957"/>
      <c r="Q1957"/>
    </row>
    <row r="1958" spans="15:17" ht="12.75">
      <c r="O1958"/>
      <c r="P1958"/>
      <c r="Q1958"/>
    </row>
    <row r="1959" spans="15:17" ht="12.75">
      <c r="O1959"/>
      <c r="P1959"/>
      <c r="Q1959"/>
    </row>
    <row r="1960" spans="15:17" ht="12.75">
      <c r="O1960"/>
      <c r="P1960"/>
      <c r="Q1960"/>
    </row>
    <row r="1961" spans="15:17" ht="12.75">
      <c r="O1961"/>
      <c r="P1961"/>
      <c r="Q1961"/>
    </row>
    <row r="1962" spans="15:17" ht="12.75">
      <c r="O1962"/>
      <c r="P1962"/>
      <c r="Q1962"/>
    </row>
    <row r="1963" spans="15:17" ht="12.75">
      <c r="O1963"/>
      <c r="P1963"/>
      <c r="Q1963"/>
    </row>
    <row r="1964" spans="15:17" ht="12.75">
      <c r="O1964"/>
      <c r="P1964"/>
      <c r="Q1964"/>
    </row>
    <row r="1965" spans="15:17" ht="12.75">
      <c r="O1965"/>
      <c r="P1965"/>
      <c r="Q1965"/>
    </row>
    <row r="1966" spans="15:17" ht="12.75">
      <c r="O1966"/>
      <c r="P1966"/>
      <c r="Q1966"/>
    </row>
    <row r="1967" spans="15:17" ht="12.75">
      <c r="O1967"/>
      <c r="P1967"/>
      <c r="Q1967"/>
    </row>
    <row r="1968" spans="15:17" ht="12.75">
      <c r="O1968"/>
      <c r="P1968"/>
      <c r="Q1968"/>
    </row>
    <row r="1969" spans="15:17" ht="12.75">
      <c r="O1969"/>
      <c r="P1969"/>
      <c r="Q1969"/>
    </row>
    <row r="1970" spans="15:17" ht="12.75">
      <c r="O1970"/>
      <c r="P1970"/>
      <c r="Q1970"/>
    </row>
    <row r="1971" spans="15:17" ht="12.75">
      <c r="O1971"/>
      <c r="P1971"/>
      <c r="Q1971"/>
    </row>
    <row r="1972" spans="15:17" ht="12.75">
      <c r="O1972"/>
      <c r="P1972"/>
      <c r="Q1972"/>
    </row>
    <row r="1973" spans="15:17" ht="12.75">
      <c r="O1973"/>
      <c r="P1973"/>
      <c r="Q1973"/>
    </row>
    <row r="1974" spans="15:17" ht="12.75">
      <c r="O1974"/>
      <c r="P1974"/>
      <c r="Q1974"/>
    </row>
    <row r="1975" spans="15:17" ht="12.75">
      <c r="O1975"/>
      <c r="P1975"/>
      <c r="Q1975"/>
    </row>
    <row r="1976" spans="15:17" ht="12.75">
      <c r="O1976"/>
      <c r="P1976"/>
      <c r="Q1976"/>
    </row>
    <row r="1977" spans="15:17" ht="12.75">
      <c r="O1977"/>
      <c r="P1977"/>
      <c r="Q1977"/>
    </row>
    <row r="1978" spans="15:17" ht="12.75">
      <c r="O1978"/>
      <c r="P1978"/>
      <c r="Q1978"/>
    </row>
    <row r="1979" spans="15:17" ht="12.75">
      <c r="O1979"/>
      <c r="P1979"/>
      <c r="Q1979"/>
    </row>
    <row r="1980" spans="15:17" ht="12.75">
      <c r="O1980"/>
      <c r="P1980"/>
      <c r="Q1980"/>
    </row>
    <row r="1981" spans="15:17" ht="12.75">
      <c r="O1981"/>
      <c r="P1981"/>
      <c r="Q1981"/>
    </row>
    <row r="1982" spans="15:17" ht="12.75">
      <c r="O1982"/>
      <c r="P1982"/>
      <c r="Q1982"/>
    </row>
    <row r="1983" spans="15:17" ht="12.75">
      <c r="O1983"/>
      <c r="P1983"/>
      <c r="Q1983"/>
    </row>
    <row r="1984" spans="15:17" ht="12.75">
      <c r="O1984"/>
      <c r="P1984"/>
      <c r="Q1984"/>
    </row>
    <row r="1985" spans="15:17" ht="12.75">
      <c r="O1985"/>
      <c r="P1985"/>
      <c r="Q1985"/>
    </row>
    <row r="1986" spans="15:17" ht="12.75">
      <c r="O1986"/>
      <c r="P1986"/>
      <c r="Q1986"/>
    </row>
    <row r="1987" spans="15:17" ht="12.75">
      <c r="O1987"/>
      <c r="P1987"/>
      <c r="Q1987"/>
    </row>
    <row r="1988" spans="15:17" ht="12.75">
      <c r="O1988"/>
      <c r="P1988"/>
      <c r="Q1988"/>
    </row>
    <row r="1989" spans="15:17" ht="12.75">
      <c r="O1989"/>
      <c r="P1989"/>
      <c r="Q1989"/>
    </row>
    <row r="1990" spans="15:17" ht="12.75">
      <c r="O1990"/>
      <c r="P1990"/>
      <c r="Q1990"/>
    </row>
    <row r="1991" spans="15:17" ht="12.75">
      <c r="O1991"/>
      <c r="P1991"/>
      <c r="Q1991"/>
    </row>
    <row r="1992" spans="15:17" ht="12.75">
      <c r="O1992"/>
      <c r="P1992"/>
      <c r="Q1992"/>
    </row>
    <row r="1993" spans="15:17" ht="12.75">
      <c r="O1993"/>
      <c r="P1993"/>
      <c r="Q1993"/>
    </row>
    <row r="1994" spans="15:17" ht="12.75">
      <c r="O1994"/>
      <c r="P1994"/>
      <c r="Q1994"/>
    </row>
    <row r="1995" spans="15:17" ht="12.75">
      <c r="O1995"/>
      <c r="P1995"/>
      <c r="Q1995"/>
    </row>
    <row r="1996" spans="15:17" ht="12.75">
      <c r="O1996"/>
      <c r="P1996"/>
      <c r="Q1996"/>
    </row>
    <row r="1997" spans="15:17" ht="12.75">
      <c r="O1997"/>
      <c r="P1997"/>
      <c r="Q1997"/>
    </row>
    <row r="1998" spans="15:17" ht="12.75">
      <c r="O1998"/>
      <c r="P1998"/>
      <c r="Q1998"/>
    </row>
    <row r="1999" spans="15:17" ht="12.75">
      <c r="O1999"/>
      <c r="P1999"/>
      <c r="Q1999"/>
    </row>
    <row r="2000" spans="15:17" ht="12.75">
      <c r="O2000"/>
      <c r="P2000"/>
      <c r="Q2000"/>
    </row>
    <row r="2001" spans="15:17" ht="12.75">
      <c r="O2001"/>
      <c r="P2001"/>
      <c r="Q2001"/>
    </row>
    <row r="2002" spans="15:17" ht="12.75">
      <c r="O2002"/>
      <c r="P2002"/>
      <c r="Q2002"/>
    </row>
    <row r="2003" spans="15:17" ht="12.75">
      <c r="O2003"/>
      <c r="P2003"/>
      <c r="Q2003"/>
    </row>
    <row r="2004" spans="15:17" ht="12.75">
      <c r="O2004"/>
      <c r="P2004"/>
      <c r="Q2004"/>
    </row>
    <row r="2005" spans="15:17" ht="12.75">
      <c r="O2005"/>
      <c r="P2005"/>
      <c r="Q2005"/>
    </row>
    <row r="2006" spans="15:17" ht="12.75">
      <c r="O2006"/>
      <c r="P2006"/>
      <c r="Q2006"/>
    </row>
    <row r="2007" spans="15:17" ht="12.75">
      <c r="O2007"/>
      <c r="P2007"/>
      <c r="Q2007"/>
    </row>
    <row r="2008" spans="15:17" ht="12.75">
      <c r="O2008"/>
      <c r="P2008"/>
      <c r="Q2008"/>
    </row>
    <row r="2009" spans="15:17" ht="12.75">
      <c r="O2009"/>
      <c r="P2009"/>
      <c r="Q2009"/>
    </row>
    <row r="2010" spans="15:17" ht="12.75">
      <c r="O2010"/>
      <c r="P2010"/>
      <c r="Q2010"/>
    </row>
    <row r="2011" spans="15:17" ht="12.75">
      <c r="O2011"/>
      <c r="P2011"/>
      <c r="Q2011"/>
    </row>
    <row r="2012" spans="15:17" ht="12.75">
      <c r="O2012"/>
      <c r="P2012"/>
      <c r="Q2012"/>
    </row>
    <row r="2013" spans="15:17" ht="12.75">
      <c r="O2013"/>
      <c r="P2013"/>
      <c r="Q2013"/>
    </row>
    <row r="2014" spans="15:17" ht="12.75">
      <c r="O2014"/>
      <c r="P2014"/>
      <c r="Q2014"/>
    </row>
    <row r="2015" spans="15:17" ht="12.75">
      <c r="O2015"/>
      <c r="P2015"/>
      <c r="Q2015"/>
    </row>
    <row r="2016" spans="15:17" ht="12.75">
      <c r="O2016"/>
      <c r="P2016"/>
      <c r="Q2016"/>
    </row>
    <row r="2017" spans="15:17" ht="12.75">
      <c r="O2017"/>
      <c r="P2017"/>
      <c r="Q2017"/>
    </row>
    <row r="2018" spans="15:17" ht="12.75">
      <c r="O2018"/>
      <c r="P2018"/>
      <c r="Q2018"/>
    </row>
    <row r="2019" spans="15:17" ht="12.75">
      <c r="O2019"/>
      <c r="P2019"/>
      <c r="Q2019"/>
    </row>
    <row r="2020" spans="15:17" ht="12.75">
      <c r="O2020"/>
      <c r="P2020"/>
      <c r="Q2020"/>
    </row>
    <row r="2021" spans="15:17" ht="12.75">
      <c r="O2021"/>
      <c r="P2021"/>
      <c r="Q2021"/>
    </row>
    <row r="2022" spans="15:17" ht="12.75">
      <c r="O2022"/>
      <c r="P2022"/>
      <c r="Q2022"/>
    </row>
    <row r="2023" spans="15:17" ht="12.75">
      <c r="O2023"/>
      <c r="P2023"/>
      <c r="Q2023"/>
    </row>
    <row r="2024" spans="15:17" ht="12.75">
      <c r="O2024"/>
      <c r="P2024"/>
      <c r="Q2024"/>
    </row>
    <row r="2025" spans="15:17" ht="12.75">
      <c r="O2025"/>
      <c r="P2025"/>
      <c r="Q2025"/>
    </row>
    <row r="2026" spans="15:17" ht="12.75">
      <c r="O2026"/>
      <c r="P2026"/>
      <c r="Q2026"/>
    </row>
    <row r="2027" spans="15:17" ht="12.75">
      <c r="O2027"/>
      <c r="P2027"/>
      <c r="Q2027"/>
    </row>
    <row r="2028" spans="15:17" ht="12.75">
      <c r="O2028"/>
      <c r="P2028"/>
      <c r="Q2028"/>
    </row>
    <row r="2029" spans="15:17" ht="12.75">
      <c r="O2029"/>
      <c r="P2029"/>
      <c r="Q2029"/>
    </row>
    <row r="2030" spans="15:17" ht="12.75">
      <c r="O2030"/>
      <c r="P2030"/>
      <c r="Q2030"/>
    </row>
    <row r="2031" spans="15:17" ht="12.75">
      <c r="O2031"/>
      <c r="P2031"/>
      <c r="Q2031"/>
    </row>
    <row r="2032" spans="15:17" ht="12.75">
      <c r="O2032"/>
      <c r="P2032"/>
      <c r="Q2032"/>
    </row>
    <row r="2033" spans="15:17" ht="12.75">
      <c r="O2033"/>
      <c r="P2033"/>
      <c r="Q2033"/>
    </row>
    <row r="2034" spans="15:17" ht="12.75">
      <c r="O2034"/>
      <c r="P2034"/>
      <c r="Q2034"/>
    </row>
    <row r="2035" spans="15:17" ht="12.75">
      <c r="O2035"/>
      <c r="P2035"/>
      <c r="Q2035"/>
    </row>
    <row r="2036" spans="15:17" ht="12.75">
      <c r="O2036"/>
      <c r="P2036"/>
      <c r="Q2036"/>
    </row>
    <row r="2037" spans="15:17" ht="12.75">
      <c r="O2037"/>
      <c r="P2037"/>
      <c r="Q2037"/>
    </row>
    <row r="2038" spans="15:17" ht="12.75">
      <c r="O2038"/>
      <c r="P2038"/>
      <c r="Q2038"/>
    </row>
    <row r="2039" spans="15:17" ht="12.75">
      <c r="O2039"/>
      <c r="P2039"/>
      <c r="Q2039"/>
    </row>
    <row r="2040" spans="15:17" ht="12.75">
      <c r="O2040"/>
      <c r="P2040"/>
      <c r="Q2040"/>
    </row>
    <row r="2041" spans="15:17" ht="12.75">
      <c r="O2041"/>
      <c r="P2041"/>
      <c r="Q2041"/>
    </row>
    <row r="2042" spans="15:17" ht="12.75">
      <c r="O2042"/>
      <c r="P2042"/>
      <c r="Q2042"/>
    </row>
    <row r="2043" spans="15:17" ht="12.75">
      <c r="O2043"/>
      <c r="P2043"/>
      <c r="Q2043"/>
    </row>
    <row r="2044" spans="15:17" ht="12.75">
      <c r="O2044"/>
      <c r="P2044"/>
      <c r="Q2044"/>
    </row>
    <row r="2045" spans="15:17" ht="12.75">
      <c r="O2045"/>
      <c r="P2045"/>
      <c r="Q2045"/>
    </row>
    <row r="2046" spans="15:17" ht="12.75">
      <c r="O2046"/>
      <c r="P2046"/>
      <c r="Q2046"/>
    </row>
    <row r="2047" spans="15:17" ht="12.75">
      <c r="O2047"/>
      <c r="P2047"/>
      <c r="Q2047"/>
    </row>
    <row r="2048" spans="15:17" ht="12.75">
      <c r="O2048"/>
      <c r="P2048"/>
      <c r="Q2048"/>
    </row>
    <row r="2049" spans="15:17" ht="12.75">
      <c r="O2049"/>
      <c r="P2049"/>
      <c r="Q2049"/>
    </row>
    <row r="2050" spans="15:17" ht="12.75">
      <c r="O2050"/>
      <c r="P2050"/>
      <c r="Q2050"/>
    </row>
    <row r="2051" spans="15:17" ht="12.75">
      <c r="O2051"/>
      <c r="P2051"/>
      <c r="Q2051"/>
    </row>
    <row r="2052" spans="15:17" ht="12.75">
      <c r="O2052"/>
      <c r="P2052"/>
      <c r="Q2052"/>
    </row>
    <row r="2053" spans="15:17" ht="12.75">
      <c r="O2053"/>
      <c r="P2053"/>
      <c r="Q2053"/>
    </row>
    <row r="2054" spans="15:17" ht="12.75">
      <c r="O2054"/>
      <c r="P2054"/>
      <c r="Q2054"/>
    </row>
    <row r="2055" spans="15:17" ht="12.75">
      <c r="O2055"/>
      <c r="P2055"/>
      <c r="Q2055"/>
    </row>
    <row r="2056" spans="15:17" ht="12.75">
      <c r="O2056"/>
      <c r="P2056"/>
      <c r="Q2056"/>
    </row>
    <row r="2057" spans="15:17" ht="12.75">
      <c r="O2057"/>
      <c r="P2057"/>
      <c r="Q2057"/>
    </row>
    <row r="2058" spans="15:17" ht="12.75">
      <c r="O2058"/>
      <c r="P2058"/>
      <c r="Q2058"/>
    </row>
    <row r="2059" spans="15:17" ht="12.75">
      <c r="O2059"/>
      <c r="P2059"/>
      <c r="Q2059"/>
    </row>
    <row r="2060" spans="15:17" ht="12.75">
      <c r="O2060"/>
      <c r="P2060"/>
      <c r="Q2060"/>
    </row>
    <row r="2061" spans="15:17" ht="12.75">
      <c r="O2061"/>
      <c r="P2061"/>
      <c r="Q2061"/>
    </row>
    <row r="2062" spans="15:17" ht="12.75">
      <c r="O2062"/>
      <c r="P2062"/>
      <c r="Q2062"/>
    </row>
    <row r="2063" spans="15:17" ht="12.75">
      <c r="O2063"/>
      <c r="P2063"/>
      <c r="Q2063"/>
    </row>
    <row r="2064" spans="15:17" ht="12.75">
      <c r="O2064"/>
      <c r="P2064"/>
      <c r="Q2064"/>
    </row>
    <row r="2065" spans="15:17" ht="12.75">
      <c r="O2065"/>
      <c r="P2065"/>
      <c r="Q2065"/>
    </row>
    <row r="2066" spans="15:17" ht="12.75">
      <c r="O2066"/>
      <c r="P2066"/>
      <c r="Q2066"/>
    </row>
    <row r="2067" spans="15:17" ht="12.75">
      <c r="O2067"/>
      <c r="P2067"/>
      <c r="Q2067"/>
    </row>
    <row r="2068" spans="15:17" ht="12.75">
      <c r="O2068"/>
      <c r="P2068"/>
      <c r="Q2068"/>
    </row>
    <row r="2069" spans="15:17" ht="12.75">
      <c r="O2069"/>
      <c r="P2069"/>
      <c r="Q2069"/>
    </row>
    <row r="2070" spans="15:17" ht="12.75">
      <c r="O2070"/>
      <c r="P2070"/>
      <c r="Q2070"/>
    </row>
    <row r="2071" spans="15:17" ht="12.75">
      <c r="O2071"/>
      <c r="P2071"/>
      <c r="Q2071"/>
    </row>
    <row r="2072" spans="15:17" ht="12.75">
      <c r="O2072"/>
      <c r="P2072"/>
      <c r="Q2072"/>
    </row>
    <row r="2073" spans="15:17" ht="12.75">
      <c r="O2073"/>
      <c r="P2073"/>
      <c r="Q2073"/>
    </row>
    <row r="2074" spans="15:17" ht="12.75">
      <c r="O2074"/>
      <c r="P2074"/>
      <c r="Q2074"/>
    </row>
    <row r="2075" spans="15:17" ht="12.75">
      <c r="O2075"/>
      <c r="P2075"/>
      <c r="Q2075"/>
    </row>
    <row r="2076" spans="15:17" ht="12.75">
      <c r="O2076"/>
      <c r="P2076"/>
      <c r="Q2076"/>
    </row>
    <row r="2077" spans="15:17" ht="12.75">
      <c r="O2077"/>
      <c r="P2077"/>
      <c r="Q2077"/>
    </row>
    <row r="2078" spans="15:17" ht="12.75">
      <c r="O2078"/>
      <c r="P2078"/>
      <c r="Q2078"/>
    </row>
    <row r="2079" spans="15:17" ht="12.75">
      <c r="O2079"/>
      <c r="P2079"/>
      <c r="Q2079"/>
    </row>
    <row r="2080" spans="15:17" ht="12.75">
      <c r="O2080"/>
      <c r="P2080"/>
      <c r="Q2080"/>
    </row>
    <row r="2081" spans="15:17" ht="12.75">
      <c r="O2081"/>
      <c r="P2081"/>
      <c r="Q2081"/>
    </row>
    <row r="2082" spans="15:17" ht="12.75">
      <c r="O2082"/>
      <c r="P2082"/>
      <c r="Q2082"/>
    </row>
    <row r="2083" spans="15:17" ht="12.75">
      <c r="O2083"/>
      <c r="P2083"/>
      <c r="Q2083"/>
    </row>
    <row r="2084" spans="15:17" ht="12.75">
      <c r="O2084"/>
      <c r="P2084"/>
      <c r="Q2084"/>
    </row>
    <row r="2085" spans="15:17" ht="12.75">
      <c r="O2085"/>
      <c r="P2085"/>
      <c r="Q2085"/>
    </row>
    <row r="2086" spans="15:17" ht="12.75">
      <c r="O2086"/>
      <c r="P2086"/>
      <c r="Q2086"/>
    </row>
    <row r="2087" spans="15:17" ht="12.75">
      <c r="O2087"/>
      <c r="P2087"/>
      <c r="Q2087"/>
    </row>
    <row r="2088" spans="15:17" ht="12.75">
      <c r="O2088"/>
      <c r="P2088"/>
      <c r="Q2088"/>
    </row>
    <row r="2089" spans="15:17" ht="12.75">
      <c r="O2089"/>
      <c r="P2089"/>
      <c r="Q2089"/>
    </row>
    <row r="2090" spans="15:17" ht="12.75">
      <c r="O2090"/>
      <c r="P2090"/>
      <c r="Q2090"/>
    </row>
    <row r="2091" spans="15:17" ht="12.75">
      <c r="O2091"/>
      <c r="P2091"/>
      <c r="Q2091"/>
    </row>
    <row r="2092" spans="15:17" ht="12.75">
      <c r="O2092"/>
      <c r="P2092"/>
      <c r="Q2092"/>
    </row>
    <row r="2093" spans="15:17" ht="12.75">
      <c r="O2093"/>
      <c r="P2093"/>
      <c r="Q2093"/>
    </row>
    <row r="2094" spans="15:17" ht="12.75">
      <c r="O2094"/>
      <c r="P2094"/>
      <c r="Q2094"/>
    </row>
    <row r="2095" spans="15:17" ht="12.75">
      <c r="O2095"/>
      <c r="P2095"/>
      <c r="Q2095"/>
    </row>
    <row r="2096" spans="15:17" ht="12.75">
      <c r="O2096"/>
      <c r="P2096"/>
      <c r="Q2096"/>
    </row>
    <row r="2097" spans="15:17" ht="12.75">
      <c r="O2097"/>
      <c r="P2097"/>
      <c r="Q2097"/>
    </row>
    <row r="2098" spans="15:17" ht="12.75">
      <c r="O2098"/>
      <c r="P2098"/>
      <c r="Q2098"/>
    </row>
    <row r="2099" spans="15:17" ht="12.75">
      <c r="O2099"/>
      <c r="P2099"/>
      <c r="Q2099"/>
    </row>
    <row r="2100" spans="15:17" ht="12.75">
      <c r="O2100"/>
      <c r="P2100"/>
      <c r="Q2100"/>
    </row>
    <row r="2101" spans="15:17" ht="12.75">
      <c r="O2101"/>
      <c r="P2101"/>
      <c r="Q2101"/>
    </row>
    <row r="2102" spans="15:17" ht="12.75">
      <c r="O2102"/>
      <c r="P2102"/>
      <c r="Q2102"/>
    </row>
    <row r="2103" spans="15:17" ht="12.75">
      <c r="O2103"/>
      <c r="P2103"/>
      <c r="Q2103"/>
    </row>
    <row r="2104" spans="15:17" ht="12.75">
      <c r="O2104"/>
      <c r="P2104"/>
      <c r="Q2104"/>
    </row>
    <row r="2105" spans="15:17" ht="12.75">
      <c r="O2105"/>
      <c r="P2105"/>
      <c r="Q2105"/>
    </row>
    <row r="2106" spans="15:17" ht="12.75">
      <c r="O2106"/>
      <c r="P2106"/>
      <c r="Q2106"/>
    </row>
    <row r="2107" spans="15:17" ht="12.75">
      <c r="O2107"/>
      <c r="P2107"/>
      <c r="Q2107"/>
    </row>
    <row r="2108" spans="15:17" ht="12.75">
      <c r="O2108"/>
      <c r="P2108"/>
      <c r="Q2108"/>
    </row>
    <row r="2109" spans="15:17" ht="12.75">
      <c r="O2109"/>
      <c r="P2109"/>
      <c r="Q2109"/>
    </row>
    <row r="2110" spans="15:17" ht="12.75">
      <c r="O2110"/>
      <c r="P2110"/>
      <c r="Q2110"/>
    </row>
    <row r="2111" spans="15:17" ht="12.75">
      <c r="O2111"/>
      <c r="P2111"/>
      <c r="Q2111"/>
    </row>
    <row r="2112" spans="15:17" ht="12.75">
      <c r="O2112"/>
      <c r="P2112"/>
      <c r="Q2112"/>
    </row>
    <row r="2113" spans="15:17" ht="12.75">
      <c r="O2113"/>
      <c r="P2113"/>
      <c r="Q2113"/>
    </row>
    <row r="2114" spans="15:17" ht="12.75">
      <c r="O2114"/>
      <c r="P2114"/>
      <c r="Q2114"/>
    </row>
    <row r="2115" spans="15:17" ht="12.75">
      <c r="O2115"/>
      <c r="P2115"/>
      <c r="Q2115"/>
    </row>
    <row r="2116" spans="15:17" ht="12.75">
      <c r="O2116"/>
      <c r="P2116"/>
      <c r="Q2116"/>
    </row>
    <row r="2117" spans="15:17" ht="12.75">
      <c r="O2117"/>
      <c r="P2117"/>
      <c r="Q2117"/>
    </row>
    <row r="2118" spans="15:17" ht="12.75">
      <c r="O2118"/>
      <c r="P2118"/>
      <c r="Q2118"/>
    </row>
    <row r="2119" spans="15:17" ht="12.75">
      <c r="O2119"/>
      <c r="P2119"/>
      <c r="Q2119"/>
    </row>
    <row r="2120" spans="15:17" ht="12.75">
      <c r="O2120"/>
      <c r="P2120"/>
      <c r="Q2120"/>
    </row>
    <row r="2121" spans="15:17" ht="12.75">
      <c r="O2121"/>
      <c r="P2121"/>
      <c r="Q2121"/>
    </row>
    <row r="2122" spans="15:17" ht="12.75">
      <c r="O2122"/>
      <c r="P2122"/>
      <c r="Q2122"/>
    </row>
    <row r="2123" spans="15:17" ht="12.75">
      <c r="O2123"/>
      <c r="P2123"/>
      <c r="Q2123"/>
    </row>
    <row r="2124" spans="15:17" ht="12.75">
      <c r="O2124"/>
      <c r="P2124"/>
      <c r="Q2124"/>
    </row>
    <row r="2125" spans="15:17" ht="12.75">
      <c r="O2125"/>
      <c r="P2125"/>
      <c r="Q2125"/>
    </row>
    <row r="2126" spans="15:17" ht="12.75">
      <c r="O2126"/>
      <c r="P2126"/>
      <c r="Q2126"/>
    </row>
    <row r="2127" spans="15:17" ht="12.75">
      <c r="O2127"/>
      <c r="P2127"/>
      <c r="Q2127"/>
    </row>
    <row r="2128" spans="15:17" ht="12.75">
      <c r="O2128"/>
      <c r="P2128"/>
      <c r="Q2128"/>
    </row>
    <row r="2129" spans="15:17" ht="12.75">
      <c r="O2129"/>
      <c r="P2129"/>
      <c r="Q2129"/>
    </row>
    <row r="2130" spans="15:17" ht="12.75">
      <c r="O2130"/>
      <c r="P2130"/>
      <c r="Q2130"/>
    </row>
    <row r="2131" spans="15:17" ht="12.75">
      <c r="O2131"/>
      <c r="P2131"/>
      <c r="Q2131"/>
    </row>
    <row r="2132" spans="15:17" ht="12.75">
      <c r="O2132"/>
      <c r="P2132"/>
      <c r="Q2132"/>
    </row>
    <row r="2133" spans="15:17" ht="12.75">
      <c r="O2133"/>
      <c r="P2133"/>
      <c r="Q2133"/>
    </row>
    <row r="2134" spans="15:17" ht="12.75">
      <c r="O2134"/>
      <c r="P2134"/>
      <c r="Q2134"/>
    </row>
    <row r="2135" spans="15:17" ht="12.75">
      <c r="O2135"/>
      <c r="P2135"/>
      <c r="Q2135"/>
    </row>
    <row r="2136" spans="15:17" ht="12.75">
      <c r="O2136"/>
      <c r="P2136"/>
      <c r="Q2136"/>
    </row>
    <row r="2137" spans="15:17" ht="12.75">
      <c r="O2137"/>
      <c r="P2137"/>
      <c r="Q2137"/>
    </row>
    <row r="2138" spans="15:17" ht="12.75">
      <c r="O2138"/>
      <c r="P2138"/>
      <c r="Q2138"/>
    </row>
    <row r="2139" spans="15:17" ht="12.75">
      <c r="O2139"/>
      <c r="P2139"/>
      <c r="Q2139"/>
    </row>
    <row r="2140" spans="15:17" ht="12.75">
      <c r="O2140"/>
      <c r="P2140"/>
      <c r="Q2140"/>
    </row>
    <row r="2141" spans="15:17" ht="12.75">
      <c r="O2141"/>
      <c r="P2141"/>
      <c r="Q2141"/>
    </row>
    <row r="2142" spans="15:17" ht="12.75">
      <c r="O2142"/>
      <c r="P2142"/>
      <c r="Q2142"/>
    </row>
    <row r="2143" spans="15:17" ht="12.75">
      <c r="O2143"/>
      <c r="P2143"/>
      <c r="Q2143"/>
    </row>
    <row r="2144" spans="15:17" ht="12.75">
      <c r="O2144"/>
      <c r="P2144"/>
      <c r="Q2144"/>
    </row>
    <row r="2145" spans="15:17" ht="12.75">
      <c r="O2145"/>
      <c r="P2145"/>
      <c r="Q2145"/>
    </row>
    <row r="2146" spans="15:17" ht="12.75">
      <c r="O2146"/>
      <c r="P2146"/>
      <c r="Q2146"/>
    </row>
    <row r="2147" spans="15:17" ht="12.75">
      <c r="O2147"/>
      <c r="P2147"/>
      <c r="Q2147"/>
    </row>
    <row r="2148" spans="15:17" ht="12.75">
      <c r="O2148"/>
      <c r="P2148"/>
      <c r="Q2148"/>
    </row>
    <row r="2149" spans="15:17" ht="12.75">
      <c r="O2149"/>
      <c r="P2149"/>
      <c r="Q2149"/>
    </row>
    <row r="2150" spans="15:17" ht="12.75">
      <c r="O2150"/>
      <c r="P2150"/>
      <c r="Q2150"/>
    </row>
    <row r="2151" spans="15:17" ht="12.75">
      <c r="O2151"/>
      <c r="P2151"/>
      <c r="Q2151"/>
    </row>
    <row r="2152" spans="15:17" ht="12.75">
      <c r="O2152"/>
      <c r="P2152"/>
      <c r="Q2152"/>
    </row>
    <row r="2153" spans="15:17" ht="12.75">
      <c r="O2153"/>
      <c r="P2153"/>
      <c r="Q2153"/>
    </row>
    <row r="2154" spans="15:17" ht="12.75">
      <c r="O2154"/>
      <c r="P2154"/>
      <c r="Q2154"/>
    </row>
    <row r="2155" spans="15:17" ht="12.75">
      <c r="O2155"/>
      <c r="P2155"/>
      <c r="Q2155"/>
    </row>
    <row r="2156" spans="15:17" ht="12.75">
      <c r="O2156"/>
      <c r="P2156"/>
      <c r="Q2156"/>
    </row>
    <row r="2157" spans="15:17" ht="12.75">
      <c r="O2157"/>
      <c r="P2157"/>
      <c r="Q2157"/>
    </row>
    <row r="2158" spans="15:17" ht="12.75">
      <c r="O2158"/>
      <c r="P2158"/>
      <c r="Q2158"/>
    </row>
    <row r="2159" spans="15:17" ht="12.75">
      <c r="O2159"/>
      <c r="P2159"/>
      <c r="Q2159"/>
    </row>
    <row r="2160" spans="15:17" ht="12.75">
      <c r="O2160"/>
      <c r="P2160"/>
      <c r="Q2160"/>
    </row>
    <row r="2161" spans="15:17" ht="12.75">
      <c r="O2161"/>
      <c r="P2161"/>
      <c r="Q2161"/>
    </row>
    <row r="2162" spans="15:17" ht="12.75">
      <c r="O2162"/>
      <c r="P2162"/>
      <c r="Q2162"/>
    </row>
    <row r="2163" spans="15:17" ht="12.75">
      <c r="O2163"/>
      <c r="P2163"/>
      <c r="Q2163"/>
    </row>
    <row r="2164" spans="15:17" ht="12.75">
      <c r="O2164"/>
      <c r="P2164"/>
      <c r="Q2164"/>
    </row>
    <row r="2165" spans="15:17" ht="12.75">
      <c r="O2165"/>
      <c r="P2165"/>
      <c r="Q2165"/>
    </row>
    <row r="2166" spans="15:17" ht="12.75">
      <c r="O2166"/>
      <c r="P2166"/>
      <c r="Q2166"/>
    </row>
    <row r="2167" spans="15:17" ht="12.75">
      <c r="O2167"/>
      <c r="P2167"/>
      <c r="Q2167"/>
    </row>
    <row r="2168" spans="15:17" ht="12.75">
      <c r="O2168"/>
      <c r="P2168"/>
      <c r="Q2168"/>
    </row>
    <row r="2169" spans="15:17" ht="12.75">
      <c r="O2169"/>
      <c r="P2169"/>
      <c r="Q2169"/>
    </row>
    <row r="2170" spans="15:17" ht="12.75">
      <c r="O2170"/>
      <c r="P2170"/>
      <c r="Q2170"/>
    </row>
    <row r="2171" spans="15:17" ht="12.75">
      <c r="O2171"/>
      <c r="P2171"/>
      <c r="Q2171"/>
    </row>
    <row r="2172" spans="15:17" ht="12.75">
      <c r="O2172"/>
      <c r="P2172"/>
      <c r="Q2172"/>
    </row>
    <row r="2173" spans="15:17" ht="12.75">
      <c r="O2173"/>
      <c r="P2173"/>
      <c r="Q2173"/>
    </row>
    <row r="2174" spans="15:17" ht="12.75">
      <c r="O2174"/>
      <c r="P2174"/>
      <c r="Q2174"/>
    </row>
    <row r="2175" spans="15:17" ht="12.75">
      <c r="O2175"/>
      <c r="P2175"/>
      <c r="Q2175"/>
    </row>
    <row r="2176" spans="15:17" ht="12.75">
      <c r="O2176"/>
      <c r="P2176"/>
      <c r="Q2176"/>
    </row>
    <row r="2177" spans="15:17" ht="12.75">
      <c r="O2177"/>
      <c r="P2177"/>
      <c r="Q2177"/>
    </row>
    <row r="2178" spans="15:17" ht="12.75">
      <c r="O2178"/>
      <c r="P2178"/>
      <c r="Q2178"/>
    </row>
    <row r="2179" spans="15:17" ht="12.75">
      <c r="O2179"/>
      <c r="P2179"/>
      <c r="Q2179"/>
    </row>
    <row r="2180" spans="15:17" ht="12.75">
      <c r="O2180"/>
      <c r="P2180"/>
      <c r="Q2180"/>
    </row>
    <row r="2181" spans="15:17" ht="12.75">
      <c r="O2181"/>
      <c r="P2181"/>
      <c r="Q2181"/>
    </row>
    <row r="2182" spans="15:17" ht="12.75">
      <c r="O2182"/>
      <c r="P2182"/>
      <c r="Q2182"/>
    </row>
    <row r="2183" spans="15:17" ht="12.75">
      <c r="O2183"/>
      <c r="P2183"/>
      <c r="Q2183"/>
    </row>
    <row r="2184" spans="15:17" ht="12.75">
      <c r="O2184"/>
      <c r="P2184"/>
      <c r="Q2184"/>
    </row>
    <row r="2185" spans="15:17" ht="12.75">
      <c r="O2185"/>
      <c r="P2185"/>
      <c r="Q2185"/>
    </row>
    <row r="2186" spans="15:17" ht="12.75">
      <c r="O2186"/>
      <c r="P2186"/>
      <c r="Q2186"/>
    </row>
    <row r="2187" spans="15:17" ht="12.75">
      <c r="O2187"/>
      <c r="P2187"/>
      <c r="Q2187"/>
    </row>
    <row r="2188" spans="15:17" ht="12.75">
      <c r="O2188"/>
      <c r="P2188"/>
      <c r="Q2188"/>
    </row>
    <row r="2189" spans="15:17" ht="12.75">
      <c r="O2189"/>
      <c r="P2189"/>
      <c r="Q2189"/>
    </row>
    <row r="2190" spans="15:17" ht="12.75">
      <c r="O2190"/>
      <c r="P2190"/>
      <c r="Q2190"/>
    </row>
    <row r="2191" spans="15:17" ht="12.75">
      <c r="O2191"/>
      <c r="P2191"/>
      <c r="Q2191"/>
    </row>
    <row r="2192" spans="15:17" ht="12.75">
      <c r="O2192"/>
      <c r="P2192"/>
      <c r="Q2192"/>
    </row>
    <row r="2193" spans="15:17" ht="12.75">
      <c r="O2193"/>
      <c r="P2193"/>
      <c r="Q2193"/>
    </row>
    <row r="2194" spans="15:17" ht="12.75">
      <c r="O2194"/>
      <c r="P2194"/>
      <c r="Q2194"/>
    </row>
    <row r="2195" spans="15:17" ht="12.75">
      <c r="O2195"/>
      <c r="P2195"/>
      <c r="Q2195"/>
    </row>
    <row r="2196" spans="15:17" ht="12.75">
      <c r="O2196"/>
      <c r="P2196"/>
      <c r="Q2196"/>
    </row>
    <row r="2197" spans="15:17" ht="12.75">
      <c r="O2197"/>
      <c r="P2197"/>
      <c r="Q2197"/>
    </row>
    <row r="2198" spans="15:17" ht="12.75">
      <c r="O2198"/>
      <c r="P2198"/>
      <c r="Q2198"/>
    </row>
    <row r="2199" spans="15:17" ht="12.75">
      <c r="O2199"/>
      <c r="P2199"/>
      <c r="Q2199"/>
    </row>
    <row r="2200" spans="15:17" ht="12.75">
      <c r="O2200"/>
      <c r="P2200"/>
      <c r="Q2200"/>
    </row>
    <row r="2201" spans="15:17" ht="12.75">
      <c r="O2201"/>
      <c r="P2201"/>
      <c r="Q2201"/>
    </row>
    <row r="2202" spans="15:17" ht="12.75">
      <c r="O2202"/>
      <c r="P2202"/>
      <c r="Q2202"/>
    </row>
    <row r="2203" spans="15:17" ht="12.75">
      <c r="O2203"/>
      <c r="P2203"/>
      <c r="Q2203"/>
    </row>
    <row r="2204" spans="15:17" ht="12.75">
      <c r="O2204"/>
      <c r="P2204"/>
      <c r="Q2204"/>
    </row>
    <row r="2205" spans="15:17" ht="12.75">
      <c r="O2205"/>
      <c r="P2205"/>
      <c r="Q2205"/>
    </row>
    <row r="2206" spans="15:17" ht="12.75">
      <c r="O2206"/>
      <c r="P2206"/>
      <c r="Q2206"/>
    </row>
    <row r="2207" spans="15:17" ht="12.75">
      <c r="O2207"/>
      <c r="P2207"/>
      <c r="Q2207"/>
    </row>
    <row r="2208" spans="15:17" ht="12.75">
      <c r="O2208"/>
      <c r="P2208"/>
      <c r="Q2208"/>
    </row>
    <row r="2209" spans="15:17" ht="12.75">
      <c r="O2209"/>
      <c r="P2209"/>
      <c r="Q2209"/>
    </row>
    <row r="2210" spans="15:17" ht="12.75">
      <c r="O2210"/>
      <c r="P2210"/>
      <c r="Q2210"/>
    </row>
    <row r="2211" spans="15:17" ht="12.75">
      <c r="O2211"/>
      <c r="P2211"/>
      <c r="Q2211"/>
    </row>
    <row r="2212" spans="15:17" ht="12.75">
      <c r="O2212"/>
      <c r="P2212"/>
      <c r="Q2212"/>
    </row>
    <row r="2213" spans="15:17" ht="12.75">
      <c r="O2213"/>
      <c r="P2213"/>
      <c r="Q2213"/>
    </row>
    <row r="2214" spans="15:17" ht="12.75">
      <c r="O2214"/>
      <c r="P2214"/>
      <c r="Q2214"/>
    </row>
    <row r="2215" spans="15:17" ht="12.75">
      <c r="O2215"/>
      <c r="P2215"/>
      <c r="Q2215"/>
    </row>
    <row r="2216" spans="15:17" ht="12.75">
      <c r="O2216"/>
      <c r="P2216"/>
      <c r="Q2216"/>
    </row>
    <row r="2217" spans="15:17" ht="12.75">
      <c r="O2217"/>
      <c r="P2217"/>
      <c r="Q2217"/>
    </row>
    <row r="2218" spans="15:17" ht="12.75">
      <c r="O2218"/>
      <c r="P2218"/>
      <c r="Q2218"/>
    </row>
    <row r="2219" spans="15:17" ht="12.75">
      <c r="O2219"/>
      <c r="P2219"/>
      <c r="Q2219"/>
    </row>
    <row r="2220" spans="15:17" ht="12.75">
      <c r="O2220"/>
      <c r="P2220"/>
      <c r="Q2220"/>
    </row>
    <row r="2221" spans="15:17" ht="12.75">
      <c r="O2221"/>
      <c r="P2221"/>
      <c r="Q2221"/>
    </row>
    <row r="2222" spans="15:17" ht="12.75">
      <c r="O2222"/>
      <c r="P2222"/>
      <c r="Q2222"/>
    </row>
    <row r="2223" spans="15:17" ht="12.75">
      <c r="O2223"/>
      <c r="P2223"/>
      <c r="Q2223"/>
    </row>
    <row r="2224" spans="15:17" ht="12.75">
      <c r="O2224"/>
      <c r="P2224"/>
      <c r="Q2224"/>
    </row>
    <row r="2225" spans="15:17" ht="12.75">
      <c r="O2225"/>
      <c r="P2225"/>
      <c r="Q2225"/>
    </row>
    <row r="2226" spans="15:17" ht="12.75">
      <c r="O2226"/>
      <c r="P2226"/>
      <c r="Q2226"/>
    </row>
    <row r="2227" spans="15:17" ht="12.75">
      <c r="O2227"/>
      <c r="P2227"/>
      <c r="Q2227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2.140625" style="0" customWidth="1"/>
    <col min="3" max="3" width="23.140625" style="0" customWidth="1"/>
  </cols>
  <sheetData>
    <row r="1" ht="15">
      <c r="A1" s="93" t="s">
        <v>82</v>
      </c>
    </row>
    <row r="2" spans="1:3" ht="12.75">
      <c r="A2" s="88"/>
      <c r="B2" s="67" t="s">
        <v>83</v>
      </c>
      <c r="C2" s="67" t="s">
        <v>84</v>
      </c>
    </row>
    <row r="3" spans="1:3" ht="12.75">
      <c r="A3" s="89"/>
      <c r="B3" s="68" t="s">
        <v>85</v>
      </c>
      <c r="C3" s="68"/>
    </row>
    <row r="4" spans="1:3" ht="12.75">
      <c r="A4" s="90"/>
      <c r="B4" s="91" t="s">
        <v>86</v>
      </c>
      <c r="C4" s="91"/>
    </row>
    <row r="5" spans="1:3" ht="12.75">
      <c r="A5" s="88" t="s">
        <v>87</v>
      </c>
      <c r="B5" s="67">
        <f>IF((TYPE(VLOOKUP(knr,Bilagtab1,2,FALSE)))=16,0,1)</f>
        <v>0</v>
      </c>
      <c r="C5" s="67">
        <f>IF(B5=1,VLOOKUP(knr,Bilagtab1,2),0)</f>
        <v>0</v>
      </c>
    </row>
    <row r="6" spans="1:3" ht="12.75">
      <c r="A6" s="89" t="s">
        <v>88</v>
      </c>
      <c r="B6" s="68">
        <f>IF((TYPE(VLOOKUP(knr,Bilagtab2,2,FALSE)))=16,0,1)</f>
        <v>0</v>
      </c>
      <c r="C6" s="68">
        <f>IF(B6=1,VLOOKUP(knr,Bilagtab2,2),0)</f>
        <v>0</v>
      </c>
    </row>
    <row r="7" spans="1:3" ht="12.75">
      <c r="A7" s="89" t="s">
        <v>89</v>
      </c>
      <c r="B7" s="68">
        <f>IF(2=B5+B6,1,0)</f>
        <v>0</v>
      </c>
      <c r="C7" s="68"/>
    </row>
    <row r="8" spans="1:3" ht="12.75">
      <c r="A8" s="89" t="s">
        <v>90</v>
      </c>
      <c r="B8" s="68">
        <f>IF(AND(1=B7,C8&gt;0),1,0)</f>
        <v>0</v>
      </c>
      <c r="C8" s="68" t="str">
        <f>IF(B7=1,VLOOKUP(knr,Bilagtab1,1),"xx")</f>
        <v>xx</v>
      </c>
    </row>
    <row r="9" spans="1:3" ht="12.75">
      <c r="A9" s="89"/>
      <c r="B9" s="68"/>
      <c r="C9" s="68"/>
    </row>
    <row r="10" spans="1:3" ht="12.75">
      <c r="A10" s="89" t="s">
        <v>91</v>
      </c>
      <c r="B10" s="68" t="str">
        <f>TEXT('Bilag 3'!C39,0)</f>
        <v>2021</v>
      </c>
      <c r="C10" s="68"/>
    </row>
    <row r="11" spans="1:3" ht="12.75">
      <c r="A11" s="89"/>
      <c r="B11" s="68"/>
      <c r="C11" s="68"/>
    </row>
    <row r="12" spans="1:3" ht="12.75">
      <c r="A12" s="89"/>
      <c r="B12" s="68" t="s">
        <v>92</v>
      </c>
      <c r="C12" s="68"/>
    </row>
    <row r="13" spans="1:3" ht="12.75">
      <c r="A13" s="89" t="s">
        <v>93</v>
      </c>
      <c r="B13" s="68">
        <f>IF(4=SUM(B14:B17),1,0)</f>
        <v>0</v>
      </c>
      <c r="C13" s="68"/>
    </row>
    <row r="14" spans="1:3" ht="12.75">
      <c r="A14" s="89" t="str">
        <f>"1.01 Budgetteret indkomstskat "&amp;aar</f>
        <v>1.01 Budgetteret indkomstskat 2021</v>
      </c>
      <c r="B14" s="68">
        <f>IF(0&lt;&gt;+Selvbudgettering!F24,1,0)</f>
        <v>0</v>
      </c>
      <c r="C14" s="68"/>
    </row>
    <row r="15" spans="1:3" ht="12.75">
      <c r="A15" s="89" t="str">
        <f>"1.02 Udskrivningsprocent "&amp;aar</f>
        <v>1.02 Udskrivningsprocent 2021</v>
      </c>
      <c r="B15" s="68">
        <f>IF(0&lt;&gt;+Selvbudgettering!F25,1,0)</f>
        <v>0</v>
      </c>
      <c r="C15" s="68"/>
    </row>
    <row r="16" spans="1:3" ht="12.75">
      <c r="A16" s="89" t="str">
        <f>"1.03 Grundværdier/grundskyld "&amp;aar</f>
        <v>1.03 Grundværdier/grundskyld 2021</v>
      </c>
      <c r="B16" s="68">
        <f>IF(0&lt;&gt;+Selvbudgettering!F26,1,0)</f>
        <v>0</v>
      </c>
      <c r="C16" s="68"/>
    </row>
    <row r="17" spans="1:3" ht="12.75">
      <c r="A17" s="89" t="str">
        <f>"1.05 Skønnet folketal pr. 1. janual "&amp;aar</f>
        <v>1.05 Skønnet folketal pr. 1. janual 2021</v>
      </c>
      <c r="B17" s="68">
        <f>IF(0&lt;&gt;+Selvbudgettering!F28,1,0)</f>
        <v>0</v>
      </c>
      <c r="C17" s="68"/>
    </row>
    <row r="18" spans="1:3" ht="12.75">
      <c r="A18" s="89"/>
      <c r="B18" s="68"/>
      <c r="C18" s="68"/>
    </row>
    <row r="19" spans="1:3" ht="12.75">
      <c r="A19" s="90" t="s">
        <v>94</v>
      </c>
      <c r="B19" s="91">
        <f>IF(+B13+B8=2,1,0)</f>
        <v>0</v>
      </c>
      <c r="C19" s="91"/>
    </row>
    <row r="20" ht="12.75">
      <c r="B20" s="92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D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bestFit="1" customWidth="1"/>
    <col min="3" max="3" width="12.421875" style="0" customWidth="1"/>
    <col min="4" max="4" width="10.28125" style="0" bestFit="1" customWidth="1"/>
  </cols>
  <sheetData>
    <row r="3" spans="2:4" ht="12.75">
      <c r="B3" s="59"/>
      <c r="C3" s="59"/>
      <c r="D3" s="59"/>
    </row>
    <row r="4" spans="2:4" ht="12.75">
      <c r="B4" s="59"/>
      <c r="C4" s="59"/>
      <c r="D4" s="59"/>
    </row>
    <row r="5" spans="2:4" ht="12.75">
      <c r="B5" s="59"/>
      <c r="C5" s="59"/>
      <c r="D5" s="59"/>
    </row>
    <row r="6" spans="2:4" ht="12.75">
      <c r="B6" s="59"/>
      <c r="C6" s="59"/>
      <c r="D6" s="59"/>
    </row>
    <row r="7" spans="2:4" ht="12.75">
      <c r="B7" s="59"/>
      <c r="C7" s="59"/>
      <c r="D7" s="59"/>
    </row>
    <row r="8" spans="2:4" ht="12.75">
      <c r="B8" s="59"/>
      <c r="C8" s="59"/>
      <c r="D8" s="59"/>
    </row>
    <row r="9" spans="2:4" ht="12.75">
      <c r="B9" s="59"/>
      <c r="C9" s="59"/>
      <c r="D9" s="59"/>
    </row>
    <row r="10" spans="2:4" ht="12.75">
      <c r="B10" s="59"/>
      <c r="C10" s="59"/>
      <c r="D10" s="59"/>
    </row>
    <row r="11" spans="2:4" ht="12.75">
      <c r="B11" s="59"/>
      <c r="C11" s="59"/>
      <c r="D11" s="59"/>
    </row>
    <row r="12" spans="2:4" ht="12.75">
      <c r="B12" s="59"/>
      <c r="C12" s="59"/>
      <c r="D12" s="59"/>
    </row>
    <row r="13" spans="2:4" ht="12.75">
      <c r="B13" s="59"/>
      <c r="C13" s="59"/>
      <c r="D13" s="59"/>
    </row>
    <row r="14" spans="2:4" ht="12.75">
      <c r="B14" s="59"/>
      <c r="C14" s="59"/>
      <c r="D14" s="60"/>
    </row>
    <row r="15" spans="2:4" ht="12.75">
      <c r="B15" s="59"/>
      <c r="C15" s="59"/>
      <c r="D15" s="59"/>
    </row>
    <row r="16" spans="2:4" ht="12.75">
      <c r="B16" s="59"/>
      <c r="C16" s="59"/>
      <c r="D16" s="59"/>
    </row>
    <row r="17" spans="2:4" ht="12.75">
      <c r="B17" s="59"/>
      <c r="C17" s="59"/>
      <c r="D17" s="59"/>
    </row>
    <row r="18" spans="2:4" ht="12.75">
      <c r="B18" s="59"/>
      <c r="C18" s="59"/>
      <c r="D18" s="59"/>
    </row>
    <row r="19" spans="2:4" ht="12.75">
      <c r="B19" s="59"/>
      <c r="C19" s="59"/>
      <c r="D19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udgiftsbe</dc:title>
  <dc:subject/>
  <dc:creator>INM</dc:creator>
  <cp:keywords/>
  <dc:description/>
  <cp:lastModifiedBy>Malene Hedegaard</cp:lastModifiedBy>
  <cp:lastPrinted>2020-06-22T17:33:03Z</cp:lastPrinted>
  <dcterms:created xsi:type="dcterms:W3CDTF">1998-04-23T11:27:28Z</dcterms:created>
  <dcterms:modified xsi:type="dcterms:W3CDTF">2020-07-02T15:21:20Z</dcterms:modified>
  <cp:category/>
  <cp:version/>
  <cp:contentType/>
  <cp:contentStatus/>
</cp:coreProperties>
</file>